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'Лист1'!$A$1:$BD$99</definedName>
    <definedName name="_xlnm.Print_Area" localSheetId="2">'Лист3'!$A$1:$H$96</definedName>
  </definedNames>
  <calcPr fullCalcOnLoad="1"/>
</workbook>
</file>

<file path=xl/sharedStrings.xml><?xml version="1.0" encoding="utf-8"?>
<sst xmlns="http://schemas.openxmlformats.org/spreadsheetml/2006/main" count="587" uniqueCount="133">
  <si>
    <t>Белгородская область</t>
  </si>
  <si>
    <t>№ пп</t>
  </si>
  <si>
    <t>I квартал  2013 года</t>
  </si>
  <si>
    <t>Средняя заработная плата по субъекту РФ, руб.</t>
  </si>
  <si>
    <t>2011 год</t>
  </si>
  <si>
    <t>2012 год</t>
  </si>
  <si>
    <t>2013 год план</t>
  </si>
  <si>
    <t>Фонд оплаты труда, формируемый за счет всех источников финансирования, тыс. руб</t>
  </si>
  <si>
    <t xml:space="preserve">Врачи 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</si>
  <si>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</si>
  <si>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</si>
  <si>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Итого по всем категориям работников, занятых в учреждениях здравоохранения субъектов Российской Федерации (включая административно-управленческий персонал и прочий персонал)</t>
  </si>
  <si>
    <t>I кв. 2013 года</t>
  </si>
  <si>
    <t>Наименование округа</t>
  </si>
  <si>
    <t>I кв.  2012 года</t>
  </si>
  <si>
    <t>I квартал  2012 года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</si>
  <si>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</si>
  <si>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</si>
  <si>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</si>
  <si>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</si>
  <si>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</si>
  <si>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</si>
  <si>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</si>
  <si>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</si>
  <si>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</si>
  <si>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</si>
  <si>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</si>
  <si>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</si>
  <si>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</si>
  <si>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</si>
  <si>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</si>
  <si>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</si>
  <si>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</si>
  <si>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I кв.  2013 года</t>
  </si>
  <si>
    <t>I кв 2012 года</t>
  </si>
  <si>
    <t>Республика Карелия</t>
  </si>
  <si>
    <t>Республика Коми</t>
  </si>
  <si>
    <t>Архангельская область</t>
  </si>
  <si>
    <t>Ненецкий автономный окург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</si>
  <si>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</si>
  <si>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</si>
  <si>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</si>
  <si>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</si>
  <si>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</si>
  <si>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</si>
  <si>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</si>
  <si>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Дагестан</t>
  </si>
  <si>
    <t>Республика Ингушетия</t>
  </si>
  <si>
    <t>Кабардино -Балкарская Республика</t>
  </si>
  <si>
    <t>Карачаево 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</si>
  <si>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</si>
  <si>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</si>
  <si>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</si>
  <si>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</si>
  <si>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</si>
  <si>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</si>
  <si>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</si>
  <si>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</si>
  <si>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</si>
  <si>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</si>
  <si>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</si>
  <si>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</si>
  <si>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</si>
  <si>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</si>
  <si>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</si>
  <si>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</si>
  <si>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</si>
  <si>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</si>
  <si>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</si>
  <si>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</si>
  <si>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</si>
  <si>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</si>
  <si>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</si>
  <si>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</si>
  <si>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</si>
  <si>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</si>
  <si>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Ханты-Мансийский автономный округ</t>
  </si>
  <si>
    <t>Ямало-Ненецкий автономный округ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</si>
  <si>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</si>
  <si>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</si>
  <si>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</si>
  <si>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</si>
  <si>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</si>
  <si>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</si>
  <si>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</si>
  <si>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</si>
  <si>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</si>
  <si>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</si>
  <si>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</si>
  <si>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</si>
  <si>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</si>
  <si>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</si>
  <si>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</si>
  <si>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</si>
  <si>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</si>
  <si>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</si>
  <si>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</si>
  <si>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</si>
  <si>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республика</t>
  </si>
  <si>
    <t>Чукутский автономный округ</t>
  </si>
  <si>
    <t>Центральный федеральный округ</t>
  </si>
  <si>
    <t>Северо-Западный федеральный округ</t>
  </si>
  <si>
    <t>Северо-Кавказский федеральный округ</t>
  </si>
  <si>
    <t>18 992</t>
  </si>
  <si>
    <t>30-</t>
  </si>
  <si>
    <t>60 150.47</t>
  </si>
  <si>
    <t>Южный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</si>
  <si>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</si>
  <si>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</si>
  <si>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</si>
  <si>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</si>
  <si>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705 740,6,</t>
  </si>
  <si>
    <t>364,471,5</t>
  </si>
  <si>
    <t>18 120*</t>
  </si>
  <si>
    <t xml:space="preserve"> Врачи Фонд оплаты труда, формируемый за счет всех источников финансирования, тыс. руб</t>
  </si>
  <si>
    <t>2013 год прогноз</t>
  </si>
  <si>
    <t>Средняя заработная плата, руб.</t>
  </si>
  <si>
    <t xml:space="preserve">      Средняя заработная плата, руб.</t>
  </si>
  <si>
    <t>Сведения о размере заработной платы работников здравохранения</t>
  </si>
  <si>
    <t xml:space="preserve"> </t>
  </si>
  <si>
    <t>Российская Федерация</t>
  </si>
  <si>
    <t>Сведения о размере фондов оплаты работников здравохранения</t>
  </si>
  <si>
    <t>Отклонение от дорожной карты по 2013 году</t>
  </si>
  <si>
    <t>Темп роста ЗП 1 кв 2013 к 1 кв 2012</t>
  </si>
  <si>
    <t>Темп роста ЗП 1 кв.2013  к 2012 году</t>
  </si>
  <si>
    <t>Сотношение ЗП к средней ЗП по субъекту по субъекту за 1 кв 2013</t>
  </si>
  <si>
    <t xml:space="preserve">Сотношение ЗП к средней ЗП по субъекту по дорожной карте в 2013 г. </t>
  </si>
  <si>
    <t>Еврейская автономная область</t>
  </si>
  <si>
    <t>Сотношение ЗП к средней ЗП по субъекту по субъекту за в 2012</t>
  </si>
  <si>
    <t xml:space="preserve"> Исполнитель: А.О. Гудков</t>
  </si>
  <si>
    <t>Врачи</t>
  </si>
  <si>
    <t>Сотношение ЗП в 1 кв 2013 г. к средней ЗП по субъекту за 1 кв 2013</t>
  </si>
  <si>
    <t>Соотношение средней заработной платы медицинских работников к средней заработной плате в субъектах Российской Федерации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</si>
</sst>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_р_._-;\-* #,##0.0_р_._-;_-* &quot;-&quot;??_р_._-;_-@_-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р_."/>
    <numFmt numFmtId="189" formatCode="_-* #,##0.0_р_._-;\-* #,##0.0_р_._-;_-* &quot;-&quot;?_р_._-;_-@_-"/>
    <numFmt numFmtId="190" formatCode="#,##0_р_."/>
    <numFmt numFmtId="191" formatCode="_-* #,##0_р_._-;\-* #,##0_р_._-;_-* &quot;-&quot;??_р_._-;_-@_-"/>
    <numFmt numFmtId="192" formatCode="#,##0&quot;р.&quot;"/>
  </numFmts>
  <fonts count="2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u val="single"/>
      <sz val="2.5"/>
      <color indexed="12"/>
      <name val="Arial"/>
      <family val="0"/>
    </font>
    <font>
      <u val="single"/>
      <sz val="2.5"/>
      <color indexed="36"/>
      <name val="Arial"/>
      <family val="0"/>
    </font>
    <font>
      <b/>
      <sz val="10"/>
      <name val="Arial"/>
      <family val="2"/>
    </font>
    <font>
      <sz val="2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0"/>
    </font>
    <font>
      <sz val="10"/>
      <color indexed="8"/>
      <name val="MS Sans Serif"/>
      <family val="0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i/>
      <sz val="1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81" fontId="2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Border="1" applyAlignment="1">
      <alignment/>
    </xf>
    <xf numFmtId="181" fontId="1" fillId="0" borderId="1" xfId="0" applyNumberFormat="1" applyFont="1" applyFill="1" applyBorder="1" applyAlignment="1">
      <alignment horizontal="center" vertical="center" wrapText="1"/>
    </xf>
    <xf numFmtId="181" fontId="7" fillId="0" borderId="1" xfId="0" applyNumberFormat="1" applyFont="1" applyBorder="1" applyAlignment="1">
      <alignment horizontal="center"/>
    </xf>
    <xf numFmtId="181" fontId="2" fillId="0" borderId="1" xfId="0" applyNumberFormat="1" applyFont="1" applyFill="1" applyBorder="1" applyAlignment="1">
      <alignment horizontal="right" vertical="center"/>
    </xf>
    <xf numFmtId="181" fontId="4" fillId="0" borderId="2" xfId="0" applyNumberFormat="1" applyFont="1" applyBorder="1" applyAlignment="1">
      <alignment horizontal="right" vertical="center"/>
    </xf>
    <xf numFmtId="181" fontId="3" fillId="0" borderId="1" xfId="20" applyNumberFormat="1" applyFont="1" applyBorder="1" applyAlignment="1">
      <alignment horizontal="right" vertical="center"/>
      <protection/>
    </xf>
    <xf numFmtId="181" fontId="3" fillId="0" borderId="1" xfId="0" applyNumberFormat="1" applyFont="1" applyFill="1" applyBorder="1" applyAlignment="1">
      <alignment horizontal="right" vertical="center"/>
    </xf>
    <xf numFmtId="181" fontId="3" fillId="0" borderId="1" xfId="0" applyNumberFormat="1" applyFont="1" applyBorder="1" applyAlignment="1">
      <alignment horizontal="right" vertical="center"/>
    </xf>
    <xf numFmtId="181" fontId="3" fillId="0" borderId="1" xfId="20" applyNumberFormat="1" applyFont="1" applyBorder="1" applyAlignment="1">
      <alignment horizontal="right" vertical="center"/>
      <protection/>
    </xf>
    <xf numFmtId="181" fontId="3" fillId="0" borderId="1" xfId="0" applyNumberFormat="1" applyFont="1" applyFill="1" applyBorder="1" applyAlignment="1">
      <alignment horizontal="right" vertical="center"/>
    </xf>
    <xf numFmtId="181" fontId="0" fillId="0" borderId="3" xfId="0" applyNumberFormat="1" applyFill="1" applyBorder="1" applyAlignment="1">
      <alignment/>
    </xf>
    <xf numFmtId="181" fontId="0" fillId="0" borderId="0" xfId="0" applyNumberFormat="1" applyAlignment="1">
      <alignment/>
    </xf>
    <xf numFmtId="181" fontId="2" fillId="0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wrapText="1"/>
    </xf>
    <xf numFmtId="181" fontId="4" fillId="0" borderId="2" xfId="0" applyNumberFormat="1" applyFont="1" applyBorder="1" applyAlignment="1">
      <alignment horizontal="center" vertical="center"/>
    </xf>
    <xf numFmtId="181" fontId="0" fillId="0" borderId="1" xfId="24" applyNumberFormat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right" vertical="center" wrapText="1"/>
    </xf>
    <xf numFmtId="181" fontId="2" fillId="0" borderId="1" xfId="19" applyNumberFormat="1" applyFont="1" applyFill="1" applyBorder="1" applyAlignment="1">
      <alignment horizontal="center" vertical="center"/>
      <protection/>
    </xf>
    <xf numFmtId="181" fontId="1" fillId="0" borderId="1" xfId="0" applyNumberFormat="1" applyFont="1" applyFill="1" applyBorder="1" applyAlignment="1">
      <alignment wrapText="1"/>
    </xf>
    <xf numFmtId="181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90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90" fontId="9" fillId="0" borderId="1" xfId="0" applyNumberFormat="1" applyFont="1" applyFill="1" applyBorder="1" applyAlignment="1">
      <alignment horizontal="center" vertical="center"/>
    </xf>
    <xf numFmtId="190" fontId="9" fillId="0" borderId="1" xfId="0" applyNumberFormat="1" applyFont="1" applyBorder="1" applyAlignment="1">
      <alignment horizontal="center"/>
    </xf>
    <xf numFmtId="190" fontId="9" fillId="0" borderId="1" xfId="0" applyNumberFormat="1" applyFont="1" applyFill="1" applyBorder="1" applyAlignment="1">
      <alignment horizontal="center" vertical="center" wrapText="1"/>
    </xf>
    <xf numFmtId="190" fontId="9" fillId="0" borderId="1" xfId="0" applyNumberFormat="1" applyFont="1" applyFill="1" applyBorder="1" applyAlignment="1">
      <alignment horizontal="center" wrapText="1"/>
    </xf>
    <xf numFmtId="190" fontId="15" fillId="0" borderId="1" xfId="0" applyNumberFormat="1" applyFont="1" applyBorder="1" applyAlignment="1">
      <alignment horizontal="center"/>
    </xf>
    <xf numFmtId="190" fontId="9" fillId="0" borderId="1" xfId="0" applyNumberFormat="1" applyFont="1" applyBorder="1" applyAlignment="1">
      <alignment horizontal="center" vertical="center"/>
    </xf>
    <xf numFmtId="190" fontId="9" fillId="0" borderId="1" xfId="20" applyNumberFormat="1" applyFont="1" applyBorder="1" applyAlignment="1">
      <alignment horizontal="center" vertical="center"/>
      <protection/>
    </xf>
    <xf numFmtId="190" fontId="9" fillId="0" borderId="1" xfId="0" applyNumberFormat="1" applyFont="1" applyBorder="1" applyAlignment="1">
      <alignment horizontal="center"/>
    </xf>
    <xf numFmtId="190" fontId="9" fillId="0" borderId="1" xfId="0" applyNumberFormat="1" applyFont="1" applyFill="1" applyBorder="1" applyAlignment="1" applyProtection="1">
      <alignment horizontal="center" vertical="top"/>
      <protection/>
    </xf>
    <xf numFmtId="190" fontId="9" fillId="0" borderId="1" xfId="24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90" fontId="9" fillId="0" borderId="1" xfId="0" applyNumberFormat="1" applyFont="1" applyFill="1" applyBorder="1" applyAlignment="1">
      <alignment horizontal="right" vertical="center"/>
    </xf>
    <xf numFmtId="190" fontId="9" fillId="0" borderId="1" xfId="0" applyNumberFormat="1" applyFont="1" applyFill="1" applyBorder="1" applyAlignment="1">
      <alignment horizontal="right" wrapText="1"/>
    </xf>
    <xf numFmtId="190" fontId="15" fillId="0" borderId="1" xfId="26" applyNumberFormat="1" applyFont="1" applyBorder="1" applyAlignment="1">
      <alignment horizontal="right"/>
    </xf>
    <xf numFmtId="190" fontId="9" fillId="0" borderId="1" xfId="19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14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6" fillId="4" borderId="0" xfId="0" applyFont="1" applyFill="1" applyAlignment="1">
      <alignment/>
    </xf>
    <xf numFmtId="43" fontId="9" fillId="4" borderId="1" xfId="18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3" fontId="9" fillId="4" borderId="1" xfId="0" applyNumberFormat="1" applyFont="1" applyFill="1" applyBorder="1" applyAlignment="1">
      <alignment horizontal="center" wrapText="1"/>
    </xf>
    <xf numFmtId="3" fontId="9" fillId="4" borderId="1" xfId="0" applyNumberFormat="1" applyFont="1" applyFill="1" applyBorder="1" applyAlignment="1">
      <alignment horizont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20" applyNumberFormat="1" applyFont="1" applyBorder="1" applyAlignment="1">
      <alignment horizontal="center" vertical="center" wrapText="1"/>
      <protection/>
    </xf>
    <xf numFmtId="3" fontId="9" fillId="0" borderId="1" xfId="0" applyNumberFormat="1" applyFont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wrapText="1"/>
    </xf>
    <xf numFmtId="3" fontId="9" fillId="0" borderId="1" xfId="0" applyNumberFormat="1" applyFont="1" applyFill="1" applyBorder="1" applyAlignment="1" applyProtection="1">
      <alignment horizontal="center" vertical="top" wrapText="1"/>
      <protection/>
    </xf>
    <xf numFmtId="3" fontId="9" fillId="4" borderId="1" xfId="0" applyNumberFormat="1" applyFont="1" applyFill="1" applyBorder="1" applyAlignment="1" applyProtection="1">
      <alignment horizontal="center" vertical="top" wrapText="1"/>
      <protection/>
    </xf>
    <xf numFmtId="3" fontId="9" fillId="0" borderId="1" xfId="24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wrapText="1"/>
    </xf>
    <xf numFmtId="3" fontId="9" fillId="0" borderId="1" xfId="24" applyNumberFormat="1" applyFont="1" applyFill="1" applyBorder="1" applyAlignment="1">
      <alignment horizontal="center" wrapText="1"/>
    </xf>
    <xf numFmtId="3" fontId="15" fillId="4" borderId="1" xfId="0" applyNumberFormat="1" applyFont="1" applyFill="1" applyBorder="1" applyAlignment="1">
      <alignment horizontal="center" wrapText="1"/>
    </xf>
    <xf numFmtId="179" fontId="9" fillId="4" borderId="1" xfId="24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16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4" fontId="9" fillId="4" borderId="1" xfId="27" applyNumberFormat="1" applyFont="1" applyFill="1" applyBorder="1" applyAlignment="1">
      <alignment horizontal="right" vertical="center"/>
    </xf>
    <xf numFmtId="3" fontId="16" fillId="4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wrapText="1"/>
    </xf>
    <xf numFmtId="3" fontId="16" fillId="0" borderId="1" xfId="0" applyNumberFormat="1" applyFont="1" applyFill="1" applyBorder="1" applyAlignment="1">
      <alignment horizontal="right" wrapText="1"/>
    </xf>
    <xf numFmtId="3" fontId="16" fillId="0" borderId="1" xfId="0" applyNumberFormat="1" applyFont="1" applyBorder="1" applyAlignment="1">
      <alignment horizontal="right" vertical="center" wrapText="1"/>
    </xf>
    <xf numFmtId="3" fontId="16" fillId="0" borderId="1" xfId="24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wrapText="1"/>
    </xf>
    <xf numFmtId="3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 applyProtection="1">
      <alignment horizontal="right" vertical="top" wrapText="1"/>
      <protection/>
    </xf>
    <xf numFmtId="3" fontId="16" fillId="0" borderId="1" xfId="0" applyNumberFormat="1" applyFont="1" applyBorder="1" applyAlignment="1">
      <alignment horizontal="right" wrapText="1"/>
    </xf>
    <xf numFmtId="190" fontId="16" fillId="0" borderId="1" xfId="0" applyNumberFormat="1" applyFont="1" applyBorder="1" applyAlignment="1">
      <alignment horizontal="right"/>
    </xf>
    <xf numFmtId="190" fontId="16" fillId="0" borderId="1" xfId="0" applyNumberFormat="1" applyFont="1" applyBorder="1" applyAlignment="1">
      <alignment horizontal="right"/>
    </xf>
    <xf numFmtId="4" fontId="9" fillId="0" borderId="1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3" fontId="15" fillId="4" borderId="1" xfId="0" applyNumberFormat="1" applyFont="1" applyFill="1" applyBorder="1" applyAlignment="1">
      <alignment horizont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190" fontId="9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190" fontId="9" fillId="4" borderId="1" xfId="0" applyNumberFormat="1" applyFont="1" applyFill="1" applyBorder="1" applyAlignment="1">
      <alignment horizontal="center"/>
    </xf>
    <xf numFmtId="180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90" fontId="9" fillId="4" borderId="1" xfId="0" applyNumberFormat="1" applyFont="1" applyFill="1" applyBorder="1" applyAlignment="1">
      <alignment horizontal="center" wrapText="1"/>
    </xf>
    <xf numFmtId="190" fontId="9" fillId="4" borderId="1" xfId="0" applyNumberFormat="1" applyFont="1" applyFill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83" fontId="2" fillId="4" borderId="1" xfId="0" applyNumberFormat="1" applyFont="1" applyFill="1" applyBorder="1" applyAlignment="1">
      <alignment horizontal="center" vertical="center"/>
    </xf>
    <xf numFmtId="190" fontId="9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 wrapText="1"/>
    </xf>
    <xf numFmtId="190" fontId="15" fillId="4" borderId="1" xfId="0" applyNumberFormat="1" applyFont="1" applyFill="1" applyBorder="1" applyAlignment="1">
      <alignment horizontal="center"/>
    </xf>
    <xf numFmtId="3" fontId="9" fillId="4" borderId="1" xfId="21" applyNumberFormat="1" applyFont="1" applyFill="1" applyBorder="1" applyAlignment="1">
      <alignment horizontal="center" wrapText="1"/>
      <protection/>
    </xf>
    <xf numFmtId="3" fontId="9" fillId="4" borderId="1" xfId="26" applyNumberFormat="1" applyFont="1" applyFill="1" applyBorder="1" applyAlignment="1">
      <alignment horizontal="center" wrapText="1"/>
    </xf>
    <xf numFmtId="3" fontId="15" fillId="4" borderId="1" xfId="21" applyNumberFormat="1" applyFont="1" applyFill="1" applyBorder="1" applyAlignment="1">
      <alignment horizontal="center" wrapText="1"/>
      <protection/>
    </xf>
    <xf numFmtId="190" fontId="15" fillId="4" borderId="1" xfId="26" applyNumberFormat="1" applyFont="1" applyFill="1" applyBorder="1" applyAlignment="1">
      <alignment horizontal="center"/>
    </xf>
    <xf numFmtId="3" fontId="9" fillId="4" borderId="1" xfId="19" applyNumberFormat="1" applyFont="1" applyFill="1" applyBorder="1" applyAlignment="1">
      <alignment horizontal="center" vertical="center" wrapText="1"/>
      <protection/>
    </xf>
    <xf numFmtId="190" fontId="9" fillId="4" borderId="1" xfId="19" applyNumberFormat="1" applyFont="1" applyFill="1" applyBorder="1" applyAlignment="1">
      <alignment horizontal="center" vertical="center"/>
      <protection/>
    </xf>
    <xf numFmtId="3" fontId="9" fillId="4" borderId="1" xfId="27" applyNumberFormat="1" applyFont="1" applyFill="1" applyBorder="1" applyAlignment="1">
      <alignment horizontal="center" vertical="center" wrapText="1"/>
    </xf>
    <xf numFmtId="3" fontId="9" fillId="4" borderId="1" xfId="18" applyNumberFormat="1" applyFont="1" applyFill="1" applyBorder="1" applyAlignment="1">
      <alignment horizontal="center" vertical="center" wrapText="1"/>
    </xf>
    <xf numFmtId="3" fontId="9" fillId="4" borderId="1" xfId="24" applyNumberFormat="1" applyFont="1" applyFill="1" applyBorder="1" applyAlignment="1">
      <alignment horizontal="center" vertical="center" wrapText="1"/>
    </xf>
    <xf numFmtId="179" fontId="6" fillId="4" borderId="1" xfId="24" applyFont="1" applyFill="1" applyBorder="1" applyAlignment="1">
      <alignment horizontal="right" vertical="center"/>
    </xf>
    <xf numFmtId="179" fontId="20" fillId="4" borderId="1" xfId="24" applyFont="1" applyFill="1" applyBorder="1" applyAlignment="1">
      <alignment horizontal="right" vertical="center"/>
    </xf>
    <xf numFmtId="3" fontId="9" fillId="4" borderId="1" xfId="24" applyNumberFormat="1" applyFont="1" applyFill="1" applyBorder="1" applyAlignment="1">
      <alignment horizontal="center" wrapText="1"/>
    </xf>
    <xf numFmtId="191" fontId="1" fillId="4" borderId="1" xfId="24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9" fillId="4" borderId="6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14" fontId="0" fillId="0" borderId="0" xfId="0" applyNumberFormat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3" fontId="2" fillId="0" borderId="1" xfId="19" applyNumberFormat="1" applyFont="1" applyFill="1" applyBorder="1" applyAlignment="1">
      <alignment horizontal="center" vertical="center" wrapText="1"/>
      <protection/>
    </xf>
    <xf numFmtId="3" fontId="1" fillId="0" borderId="1" xfId="0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3" fontId="24" fillId="0" borderId="1" xfId="0" applyNumberFormat="1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25" fillId="0" borderId="1" xfId="0" applyNumberFormat="1" applyFont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181" fontId="0" fillId="0" borderId="5" xfId="0" applyNumberFormat="1" applyBorder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22" fillId="0" borderId="6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2" fontId="22" fillId="0" borderId="8" xfId="0" applyNumberFormat="1" applyFont="1" applyFill="1" applyBorder="1" applyAlignment="1">
      <alignment horizontal="center" vertical="center" wrapText="1"/>
    </xf>
    <xf numFmtId="2" fontId="22" fillId="0" borderId="9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14">
    <cellStyle name="Normal" xfId="0"/>
    <cellStyle name="Hyperlink" xfId="15"/>
    <cellStyle name="Currency" xfId="16"/>
    <cellStyle name="Currency [0]" xfId="17"/>
    <cellStyle name="Нейтральный" xfId="18"/>
    <cellStyle name="Обычный 3" xfId="19"/>
    <cellStyle name="Обычный_Лист2" xfId="20"/>
    <cellStyle name="Обычный_СВОД По телеграмме о заработной плате" xfId="21"/>
    <cellStyle name="Followed Hyperlink" xfId="22"/>
    <cellStyle name="Percent" xfId="23"/>
    <cellStyle name="Comma" xfId="24"/>
    <cellStyle name="Comma [0]" xfId="25"/>
    <cellStyle name="Финансовый_СВОД По телеграмме о заработной плате" xfId="26"/>
    <cellStyle name="Хороший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00"/>
  <sheetViews>
    <sheetView tabSelected="1" zoomScale="55" zoomScaleNormal="55" zoomScaleSheetLayoutView="40" workbookViewId="0" topLeftCell="A1">
      <pane ySplit="4" topLeftCell="BM5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9.140625" style="60" customWidth="1"/>
    <col min="2" max="2" width="61.8515625" style="60" customWidth="1"/>
    <col min="3" max="17" width="25.7109375" style="60" customWidth="1"/>
    <col min="18" max="18" width="25.7109375" style="0" customWidth="1"/>
    <col min="20" max="21" width="9.140625" style="60" customWidth="1"/>
    <col min="22" max="22" width="53.140625" style="60" customWidth="1"/>
    <col min="23" max="37" width="25.7109375" style="60" customWidth="1"/>
    <col min="38" max="38" width="25.7109375" style="0" customWidth="1"/>
    <col min="39" max="39" width="9.140625" style="60" customWidth="1"/>
    <col min="40" max="40" width="45.8515625" style="93" customWidth="1"/>
    <col min="41" max="51" width="25.7109375" style="60" customWidth="1"/>
    <col min="52" max="52" width="25.7109375" style="69" customWidth="1"/>
    <col min="53" max="55" width="25.7109375" style="60" customWidth="1"/>
    <col min="56" max="56" width="25.7109375" style="0" customWidth="1"/>
    <col min="58" max="65" width="9.140625" style="60" customWidth="1"/>
    <col min="82" max="88" width="9.140625" style="60" customWidth="1"/>
    <col min="89" max="93" width="19.421875" style="60" customWidth="1"/>
    <col min="94" max="16384" width="9.140625" style="60" customWidth="1"/>
  </cols>
  <sheetData>
    <row r="1" spans="3:93" ht="27.75" customHeight="1">
      <c r="C1" s="209" t="s">
        <v>118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W1" s="213" t="s">
        <v>118</v>
      </c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O1" s="209" t="s">
        <v>118</v>
      </c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CK1" s="61"/>
      <c r="CL1" s="61"/>
      <c r="CM1" s="61"/>
      <c r="CN1" s="61"/>
      <c r="CO1" s="61"/>
    </row>
    <row r="2" spans="1:93" ht="45" customHeight="1">
      <c r="A2" s="62"/>
      <c r="B2" s="62"/>
      <c r="C2" s="202" t="s">
        <v>3</v>
      </c>
      <c r="D2" s="203"/>
      <c r="E2" s="203"/>
      <c r="F2" s="203"/>
      <c r="G2" s="204"/>
      <c r="H2" s="210" t="s">
        <v>8</v>
      </c>
      <c r="I2" s="211"/>
      <c r="J2" s="211"/>
      <c r="K2" s="211"/>
      <c r="L2" s="211"/>
      <c r="M2" s="211"/>
      <c r="N2" s="211"/>
      <c r="O2" s="211"/>
      <c r="P2" s="211"/>
      <c r="Q2" s="211"/>
      <c r="R2" s="212"/>
      <c r="U2" s="62"/>
      <c r="V2" s="62"/>
      <c r="W2" s="202" t="s">
        <v>3</v>
      </c>
      <c r="X2" s="203"/>
      <c r="Y2" s="203"/>
      <c r="Z2" s="203"/>
      <c r="AA2" s="204"/>
      <c r="AB2" s="214" t="s">
        <v>9</v>
      </c>
      <c r="AC2" s="215"/>
      <c r="AD2" s="215"/>
      <c r="AE2" s="215"/>
      <c r="AF2" s="215"/>
      <c r="AG2" s="215"/>
      <c r="AH2" s="215"/>
      <c r="AI2" s="215"/>
      <c r="AJ2" s="215"/>
      <c r="AK2" s="215"/>
      <c r="AL2" s="216"/>
      <c r="AM2" s="62"/>
      <c r="AN2" s="94"/>
      <c r="AO2" s="202" t="s">
        <v>3</v>
      </c>
      <c r="AP2" s="203"/>
      <c r="AQ2" s="203"/>
      <c r="AR2" s="203"/>
      <c r="AS2" s="204"/>
      <c r="AT2" s="199" t="s">
        <v>10</v>
      </c>
      <c r="AU2" s="200"/>
      <c r="AV2" s="200"/>
      <c r="AW2" s="200"/>
      <c r="AX2" s="200"/>
      <c r="AY2" s="200"/>
      <c r="AZ2" s="200"/>
      <c r="BA2" s="200"/>
      <c r="BB2" s="200"/>
      <c r="BC2" s="200"/>
      <c r="BD2" s="201"/>
      <c r="CK2" s="197" t="s">
        <v>11</v>
      </c>
      <c r="CL2" s="198"/>
      <c r="CM2" s="198"/>
      <c r="CN2" s="198"/>
      <c r="CO2" s="198"/>
    </row>
    <row r="3" spans="1:93" ht="15.75" customHeight="1">
      <c r="A3" s="62"/>
      <c r="B3" s="62"/>
      <c r="C3" s="177"/>
      <c r="D3" s="178"/>
      <c r="E3" s="178"/>
      <c r="F3" s="178"/>
      <c r="G3" s="179"/>
      <c r="H3" s="196" t="s">
        <v>117</v>
      </c>
      <c r="I3" s="196"/>
      <c r="J3" s="196"/>
      <c r="K3" s="196"/>
      <c r="L3" s="196"/>
      <c r="M3" s="34"/>
      <c r="N3" s="62"/>
      <c r="O3" s="34"/>
      <c r="P3" s="34"/>
      <c r="Q3" s="34"/>
      <c r="R3" s="2"/>
      <c r="U3" s="62"/>
      <c r="V3" s="62"/>
      <c r="W3" s="205"/>
      <c r="X3" s="206"/>
      <c r="Y3" s="206"/>
      <c r="Z3" s="206"/>
      <c r="AA3" s="207"/>
      <c r="AB3" s="197" t="s">
        <v>116</v>
      </c>
      <c r="AC3" s="198"/>
      <c r="AD3" s="198"/>
      <c r="AE3" s="198"/>
      <c r="AF3" s="198"/>
      <c r="AG3" s="34"/>
      <c r="AH3" s="34"/>
      <c r="AI3" s="55"/>
      <c r="AJ3" s="34"/>
      <c r="AK3" s="34"/>
      <c r="AL3" s="2"/>
      <c r="AM3" s="62"/>
      <c r="AN3" s="94"/>
      <c r="AO3" s="205"/>
      <c r="AP3" s="206"/>
      <c r="AQ3" s="206"/>
      <c r="AR3" s="206"/>
      <c r="AS3" s="207"/>
      <c r="AT3" s="197" t="s">
        <v>116</v>
      </c>
      <c r="AU3" s="198"/>
      <c r="AV3" s="198"/>
      <c r="AW3" s="198"/>
      <c r="AX3" s="198"/>
      <c r="AY3" s="115"/>
      <c r="AZ3" s="115"/>
      <c r="BA3" s="115"/>
      <c r="BB3" s="115"/>
      <c r="BC3" s="116"/>
      <c r="BD3" s="2"/>
      <c r="CK3" s="208" t="s">
        <v>116</v>
      </c>
      <c r="CL3" s="208"/>
      <c r="CM3" s="208"/>
      <c r="CN3" s="208"/>
      <c r="CO3" s="208"/>
    </row>
    <row r="4" spans="1:93" ht="82.5" customHeight="1">
      <c r="A4" s="62" t="s">
        <v>1</v>
      </c>
      <c r="B4" s="62"/>
      <c r="C4" s="35" t="s">
        <v>4</v>
      </c>
      <c r="D4" s="35" t="s">
        <v>5</v>
      </c>
      <c r="E4" s="35" t="s">
        <v>115</v>
      </c>
      <c r="F4" s="35" t="s">
        <v>14</v>
      </c>
      <c r="G4" s="35" t="s">
        <v>12</v>
      </c>
      <c r="H4" s="35" t="s">
        <v>4</v>
      </c>
      <c r="I4" s="35" t="s">
        <v>5</v>
      </c>
      <c r="J4" s="35" t="s">
        <v>115</v>
      </c>
      <c r="K4" s="35" t="s">
        <v>14</v>
      </c>
      <c r="L4" s="35" t="s">
        <v>12</v>
      </c>
      <c r="M4" s="35" t="s">
        <v>123</v>
      </c>
      <c r="N4" s="54" t="s">
        <v>124</v>
      </c>
      <c r="O4" s="35" t="s">
        <v>126</v>
      </c>
      <c r="P4" s="35" t="s">
        <v>125</v>
      </c>
      <c r="Q4" s="35" t="s">
        <v>122</v>
      </c>
      <c r="R4" s="35" t="s">
        <v>128</v>
      </c>
      <c r="U4" s="63" t="s">
        <v>1</v>
      </c>
      <c r="V4" s="62"/>
      <c r="W4" s="35" t="s">
        <v>4</v>
      </c>
      <c r="X4" s="35" t="s">
        <v>5</v>
      </c>
      <c r="Y4" s="35" t="s">
        <v>115</v>
      </c>
      <c r="Z4" s="35" t="s">
        <v>14</v>
      </c>
      <c r="AA4" s="35" t="s">
        <v>12</v>
      </c>
      <c r="AB4" s="35" t="s">
        <v>4</v>
      </c>
      <c r="AC4" s="35" t="s">
        <v>5</v>
      </c>
      <c r="AD4" s="35" t="s">
        <v>115</v>
      </c>
      <c r="AE4" s="35" t="s">
        <v>14</v>
      </c>
      <c r="AF4" s="35" t="s">
        <v>2</v>
      </c>
      <c r="AG4" s="35" t="s">
        <v>123</v>
      </c>
      <c r="AH4" s="54" t="s">
        <v>124</v>
      </c>
      <c r="AI4" s="35" t="s">
        <v>126</v>
      </c>
      <c r="AJ4" s="35" t="s">
        <v>125</v>
      </c>
      <c r="AK4" s="35" t="s">
        <v>122</v>
      </c>
      <c r="AL4" s="35" t="s">
        <v>128</v>
      </c>
      <c r="AM4" s="141" t="s">
        <v>1</v>
      </c>
      <c r="AN4" s="95"/>
      <c r="AO4" s="35" t="s">
        <v>4</v>
      </c>
      <c r="AP4" s="35" t="s">
        <v>5</v>
      </c>
      <c r="AQ4" s="35" t="s">
        <v>115</v>
      </c>
      <c r="AR4" s="35" t="s">
        <v>14</v>
      </c>
      <c r="AS4" s="35" t="s">
        <v>12</v>
      </c>
      <c r="AT4" s="35" t="s">
        <v>4</v>
      </c>
      <c r="AU4" s="35" t="s">
        <v>5</v>
      </c>
      <c r="AV4" s="35" t="s">
        <v>115</v>
      </c>
      <c r="AW4" s="35" t="s">
        <v>14</v>
      </c>
      <c r="AX4" s="35" t="s">
        <v>33</v>
      </c>
      <c r="AY4" s="35" t="s">
        <v>123</v>
      </c>
      <c r="AZ4" s="54" t="s">
        <v>124</v>
      </c>
      <c r="BA4" s="35" t="s">
        <v>126</v>
      </c>
      <c r="BB4" s="35" t="s">
        <v>125</v>
      </c>
      <c r="BC4" s="35" t="s">
        <v>122</v>
      </c>
      <c r="BD4" s="35" t="s">
        <v>128</v>
      </c>
      <c r="CK4" s="35" t="s">
        <v>4</v>
      </c>
      <c r="CL4" s="35" t="s">
        <v>5</v>
      </c>
      <c r="CM4" s="35" t="s">
        <v>15</v>
      </c>
      <c r="CN4" s="35" t="s">
        <v>2</v>
      </c>
      <c r="CO4" s="35" t="s">
        <v>6</v>
      </c>
    </row>
    <row r="5" spans="1:93" s="166" customFormat="1" ht="17.25" customHeight="1">
      <c r="A5" s="165">
        <v>1</v>
      </c>
      <c r="B5" s="165">
        <v>2</v>
      </c>
      <c r="C5" s="27">
        <v>3</v>
      </c>
      <c r="D5" s="27">
        <v>4</v>
      </c>
      <c r="E5" s="27">
        <v>5</v>
      </c>
      <c r="F5" s="169">
        <v>6</v>
      </c>
      <c r="G5" s="169">
        <v>7</v>
      </c>
      <c r="H5" s="27">
        <v>8</v>
      </c>
      <c r="I5" s="27">
        <v>9</v>
      </c>
      <c r="J5" s="27">
        <v>10</v>
      </c>
      <c r="K5" s="27">
        <v>11</v>
      </c>
      <c r="L5" s="27">
        <v>12</v>
      </c>
      <c r="M5" s="27">
        <v>13</v>
      </c>
      <c r="N5" s="170">
        <v>14</v>
      </c>
      <c r="O5" s="27">
        <v>15</v>
      </c>
      <c r="P5" s="27">
        <v>16</v>
      </c>
      <c r="Q5" s="27">
        <v>17</v>
      </c>
      <c r="R5" s="169">
        <v>18</v>
      </c>
      <c r="S5" s="171"/>
      <c r="U5" s="167">
        <v>1</v>
      </c>
      <c r="V5" s="165">
        <v>2</v>
      </c>
      <c r="W5" s="27">
        <v>3</v>
      </c>
      <c r="X5" s="27">
        <v>4</v>
      </c>
      <c r="Y5" s="27">
        <v>5</v>
      </c>
      <c r="Z5" s="169">
        <v>6</v>
      </c>
      <c r="AA5" s="169">
        <v>7</v>
      </c>
      <c r="AB5" s="27">
        <v>8</v>
      </c>
      <c r="AC5" s="27">
        <v>9</v>
      </c>
      <c r="AD5" s="27">
        <v>10</v>
      </c>
      <c r="AE5" s="27">
        <v>11</v>
      </c>
      <c r="AF5" s="27">
        <v>12</v>
      </c>
      <c r="AG5" s="27">
        <v>13</v>
      </c>
      <c r="AH5" s="170">
        <v>14</v>
      </c>
      <c r="AI5" s="27">
        <v>15</v>
      </c>
      <c r="AJ5" s="27">
        <v>16</v>
      </c>
      <c r="AK5" s="27">
        <v>17</v>
      </c>
      <c r="AL5" s="169">
        <v>18</v>
      </c>
      <c r="AM5" s="168">
        <v>1</v>
      </c>
      <c r="AN5" s="167">
        <v>2</v>
      </c>
      <c r="AO5" s="27">
        <v>3</v>
      </c>
      <c r="AP5" s="27">
        <v>4</v>
      </c>
      <c r="AQ5" s="27">
        <v>5</v>
      </c>
      <c r="AR5" s="169">
        <v>6</v>
      </c>
      <c r="AS5" s="169">
        <v>7</v>
      </c>
      <c r="AT5" s="27">
        <v>8</v>
      </c>
      <c r="AU5" s="27">
        <v>9</v>
      </c>
      <c r="AV5" s="27">
        <v>10</v>
      </c>
      <c r="AW5" s="27">
        <v>11</v>
      </c>
      <c r="AX5" s="27">
        <v>12</v>
      </c>
      <c r="AY5" s="27">
        <v>13</v>
      </c>
      <c r="AZ5" s="170">
        <v>14</v>
      </c>
      <c r="BA5" s="27">
        <v>15</v>
      </c>
      <c r="BB5" s="27">
        <v>16</v>
      </c>
      <c r="BC5" s="27">
        <v>17</v>
      </c>
      <c r="BD5" s="169">
        <v>18</v>
      </c>
      <c r="BE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K5" s="27"/>
      <c r="CL5" s="27"/>
      <c r="CM5" s="27"/>
      <c r="CN5" s="27"/>
      <c r="CO5" s="27"/>
    </row>
    <row r="6" spans="1:93" ht="17.25" customHeight="1">
      <c r="A6" s="62"/>
      <c r="B6" s="64" t="s">
        <v>120</v>
      </c>
      <c r="C6" s="89">
        <v>23736</v>
      </c>
      <c r="D6" s="89">
        <v>26822</v>
      </c>
      <c r="E6" s="89">
        <v>26707</v>
      </c>
      <c r="F6" s="125">
        <f>AVERAGE(F8:F10,F12:F14,F16,F18:F23,F25,F27:F32,F34:F37,F39,F41:F45,F47:F50,F52,F54,F56,F59,F61,F63:F65,F67,F70,F73,F74,F77,F79,F80,F82,F84,F85,F87,F92:F97)</f>
        <v>22561.090338983053</v>
      </c>
      <c r="G6" s="125">
        <f>AVERAGE(G8:G10,G12:G16,G18:G25,G27:G37,G39,G41:G45,G47:G50,G52,G54:G59,G61,G63:G67,G69:G71,G73:G74,G76:G87,G90,G92:G96)</f>
        <v>23755.146478873237</v>
      </c>
      <c r="H6" s="89">
        <f>AVERAGE(H8:H25,H27:H37,H39:H45,H47:H52,H54:H65,H67,H69:H74,H76:H87,H89,H91:H97)</f>
        <v>27705.094179062035</v>
      </c>
      <c r="I6" s="89">
        <f>AVERAGE(I8:I25,I27:I37,I39:I45,I47:I52,I54:I67,I69:I74,I76:I87,I89,I91:I97)</f>
        <v>33313.7599933997</v>
      </c>
      <c r="J6" s="89">
        <f>AVERAGE(J8:J25,J27:J37,J39:J45,J47:J52,J54:J67,J69:J74,J76:J87,J89,J91:J97)</f>
        <v>36722.85213798819</v>
      </c>
      <c r="K6" s="89">
        <f>AVERAGE(K8:K25,K27:K37,K39:K45,K47:K52,K54,K56,K58:K65,K67,K70,K77,K79:K80,K82:K87,K91:K97)</f>
        <v>28139.78494220949</v>
      </c>
      <c r="L6" s="89">
        <f>AVERAGE(L8:L25,L27:L37,L39:L45,L47:L52,L54:L67,L69:L74,L76:L87,L89,L91:L94,L95:L97)</f>
        <v>33869.671601960734</v>
      </c>
      <c r="M6" s="126">
        <f aca="true" t="shared" si="0" ref="M6:M21">L6/K6*100</f>
        <v>120.36222619156001</v>
      </c>
      <c r="N6" s="127">
        <f aca="true" t="shared" si="1" ref="N6:N21">L6/I6*100</f>
        <v>101.6687146952826</v>
      </c>
      <c r="O6" s="89">
        <v>129.7</v>
      </c>
      <c r="P6" s="128">
        <f>L6/G6*100</f>
        <v>142.5782477581559</v>
      </c>
      <c r="Q6" s="128">
        <f>P6-O6</f>
        <v>12.878247758155908</v>
      </c>
      <c r="R6" s="127"/>
      <c r="U6" s="37"/>
      <c r="V6" s="64" t="s">
        <v>120</v>
      </c>
      <c r="W6" s="89">
        <v>23736</v>
      </c>
      <c r="X6" s="89">
        <v>26822</v>
      </c>
      <c r="Y6" s="89">
        <f>AVERAGE(Y8:Y25,Y27:Y37,Y39,Y41:Y45,Y47:Y52,Y54:Y67,Y69:Y74,Y76:Y87,Y89,Y92:Y97)</f>
        <v>26707.176249999997</v>
      </c>
      <c r="Z6" s="125">
        <f>AVERAGE(Z8:Z10,Z12:Z14,Z16,Z18:Z23,Z25,Z27:Z32,Z34:Z37,Z39,Z41:Z45,Z47:Z50,Z52,Z54,Z56,Z59,Z61,Z63:Z65,Z67,Z70,Z73,Z74,Z77,Z79,Z80,Z82,Z84,Z85,Z87,Z92:Z97)</f>
        <v>22561.083559322033</v>
      </c>
      <c r="AA6" s="125">
        <v>23755</v>
      </c>
      <c r="AB6" s="89">
        <f>AVERAGE(AB8:AB25,AB27:AB37,AB39:AB45,AB47:AB52,AB54:AB65,AB67,AB69:AB74,AB76:AB87,AB89,AB91:AB97)</f>
        <v>15747.873437510958</v>
      </c>
      <c r="AC6" s="89">
        <f>AVERAGE(AC8:AC25,AC27:AC37,AC39:AC45,AC47:AC52,AC54:AC67,AC69:AC74,AC76:AC85,AC86,AC87,AC89,AC91:AC97)</f>
        <v>18408.455580105972</v>
      </c>
      <c r="AD6" s="89">
        <f>AVERAGE(AD8:AD25,AD27:AD37,AD39:AD45,AD47:AD52,AD54:AD67,AD69:AD74,AD76:AD87,AD89,AD91:AD97)</f>
        <v>20657.718006964595</v>
      </c>
      <c r="AE6" s="89">
        <f>AVERAGE(AE8:AE25,AE27:AE37,AE39:AE45,AE47:AE52,AE54,AE56,AE58:AE65,AE67,AE70,AE72:AE74,AE77,AE79:AE80,AE82:AE87,AE91:AE97)</f>
        <v>16797.828392762418</v>
      </c>
      <c r="AF6" s="89">
        <f>AVERAGE(AF8:AF25,AF27:AF37,AF39:AF45,AF47:AF52,AF54:AF67,AF69:AF74,AF76:AF87,AF89,AF91:AF97)</f>
        <v>19108.930851820525</v>
      </c>
      <c r="AG6" s="126">
        <f aca="true" t="shared" si="2" ref="AG6:AG21">AF6/AE6*100</f>
        <v>113.75834069154962</v>
      </c>
      <c r="AH6" s="127">
        <f aca="true" t="shared" si="3" ref="AH6:AH21">AF6/AC6*100</f>
        <v>103.80518218199444</v>
      </c>
      <c r="AI6" s="126">
        <v>76</v>
      </c>
      <c r="AJ6" s="128">
        <f>AF6/AA6*100</f>
        <v>80.44172111900873</v>
      </c>
      <c r="AK6" s="128">
        <f aca="true" t="shared" si="4" ref="AK6:AK25">AJ6-AI6</f>
        <v>4.441721119008733</v>
      </c>
      <c r="AL6" s="127">
        <f>AG6/AB6*100</f>
        <v>0.7223727136425969</v>
      </c>
      <c r="AM6" s="37"/>
      <c r="AN6" s="96" t="s">
        <v>120</v>
      </c>
      <c r="AO6" s="89">
        <v>23736</v>
      </c>
      <c r="AP6" s="89">
        <v>26822</v>
      </c>
      <c r="AQ6" s="89">
        <v>26707</v>
      </c>
      <c r="AR6" s="125">
        <v>22561</v>
      </c>
      <c r="AS6" s="125">
        <v>23755</v>
      </c>
      <c r="AT6" s="89">
        <f>AVERAGE(AT8:AT25,AT27:AT37,AT39:AT45,AT47:AT52,AT54:AT65,AT67,AT69:AT74,AT76:AT87,AT89,AT91:AT97)</f>
        <v>8662.142626791072</v>
      </c>
      <c r="AU6" s="89">
        <f>AVERAGE(AU8:AU25,AU27:AU37,AU39:AU45,AU47:AU52,AU54:AU67,AU69:AU74,AU76:AU87,AU89,AU91,AU92:AU97)</f>
        <v>10017.693132145701</v>
      </c>
      <c r="AV6" s="89">
        <f>AVERAGE(AV8:AV25,AV27:AV37,AV39:AV45,AV47:AV52,AV54:AV67,AV69:AV74,AV76:AV87,AV89,AV91:AV97)</f>
        <v>12777.77479530846</v>
      </c>
      <c r="AW6" s="89">
        <f>AVERAGE(AW8:AW25,AW27:AW37,AW39:AW45,AW47:AW52,AW54,AW56,AW58:AW65,AW67,AW70,AW72:AW74,AW77,AW79,AW80,AW82:AW87,AW91:AW97)</f>
        <v>9404.457780345685</v>
      </c>
      <c r="AX6" s="89">
        <f>AVERAGE(AX8:AX25,AX27:AX37,AX39:AX45,AX47:AX52,AX54:AX67,AX69:AX74,AX76:AX87,AX89,AX91:AX97)</f>
        <v>10952.180860102504</v>
      </c>
      <c r="AY6" s="126">
        <f aca="true" t="shared" si="5" ref="AY6:AY25">AX6/AW6*100</f>
        <v>116.45733455246506</v>
      </c>
      <c r="AZ6" s="127">
        <f aca="true" t="shared" si="6" ref="AZ6:AZ25">AX6/AU6*100</f>
        <v>109.32837246689193</v>
      </c>
      <c r="BA6" s="129">
        <v>48</v>
      </c>
      <c r="BB6" s="128">
        <f aca="true" t="shared" si="7" ref="BB6:BB25">AX6/AS6*100</f>
        <v>46.104739465807214</v>
      </c>
      <c r="BC6" s="128">
        <f aca="true" t="shared" si="8" ref="BC6:BC25">BB6-BA6</f>
        <v>-1.8952605341927864</v>
      </c>
      <c r="BD6" s="127">
        <f>AY6/AT6*100</f>
        <v>1.3444402796171364</v>
      </c>
      <c r="CK6" s="36"/>
      <c r="CL6" s="36"/>
      <c r="CM6" s="36"/>
      <c r="CN6" s="36"/>
      <c r="CO6" s="36"/>
    </row>
    <row r="7" spans="1:93" ht="18.75">
      <c r="A7" s="62"/>
      <c r="B7" s="65" t="s">
        <v>100</v>
      </c>
      <c r="C7" s="74"/>
      <c r="D7" s="74"/>
      <c r="E7" s="74"/>
      <c r="F7" s="75"/>
      <c r="G7" s="75"/>
      <c r="H7" s="74"/>
      <c r="I7" s="74"/>
      <c r="J7" s="74"/>
      <c r="K7" s="74"/>
      <c r="L7" s="74"/>
      <c r="M7" s="74"/>
      <c r="N7" s="77"/>
      <c r="O7" s="76"/>
      <c r="P7" s="76"/>
      <c r="Q7" s="76"/>
      <c r="R7" s="71"/>
      <c r="U7" s="39"/>
      <c r="V7" s="65" t="s">
        <v>100</v>
      </c>
      <c r="W7" s="74"/>
      <c r="X7" s="74"/>
      <c r="Y7" s="74"/>
      <c r="Z7" s="75"/>
      <c r="AA7" s="75"/>
      <c r="AB7" s="74"/>
      <c r="AC7" s="74"/>
      <c r="AD7" s="74"/>
      <c r="AE7" s="74"/>
      <c r="AF7" s="74"/>
      <c r="AG7" s="77"/>
      <c r="AH7" s="71"/>
      <c r="AI7" s="76"/>
      <c r="AJ7" s="76"/>
      <c r="AK7" s="76"/>
      <c r="AL7" s="71"/>
      <c r="AM7" s="39"/>
      <c r="AN7" s="98" t="s">
        <v>100</v>
      </c>
      <c r="AO7" s="74"/>
      <c r="AP7" s="74"/>
      <c r="AQ7" s="74"/>
      <c r="AR7" s="75"/>
      <c r="AS7" s="75"/>
      <c r="AT7" s="74"/>
      <c r="AU7" s="74"/>
      <c r="AV7" s="74"/>
      <c r="AW7" s="74"/>
      <c r="AX7" s="74"/>
      <c r="AY7" s="76"/>
      <c r="AZ7" s="77"/>
      <c r="BA7" s="76"/>
      <c r="BB7" s="76"/>
      <c r="BC7" s="76"/>
      <c r="BD7" s="71"/>
      <c r="CK7" s="38"/>
      <c r="CL7" s="38"/>
      <c r="CM7" s="38"/>
      <c r="CN7" s="38"/>
      <c r="CO7" s="38"/>
    </row>
    <row r="8" spans="1:93" ht="18.75">
      <c r="A8" s="62">
        <v>1</v>
      </c>
      <c r="B8" s="66" t="s">
        <v>0</v>
      </c>
      <c r="C8" s="72">
        <v>17668</v>
      </c>
      <c r="D8" s="72">
        <v>20294</v>
      </c>
      <c r="E8" s="72">
        <v>21918</v>
      </c>
      <c r="F8" s="73">
        <v>18599</v>
      </c>
      <c r="G8" s="71">
        <v>20410</v>
      </c>
      <c r="H8" s="72">
        <v>19016</v>
      </c>
      <c r="I8" s="72">
        <v>21787</v>
      </c>
      <c r="J8" s="72">
        <v>25735</v>
      </c>
      <c r="K8" s="72">
        <v>21630</v>
      </c>
      <c r="L8" s="72">
        <v>24151</v>
      </c>
      <c r="M8" s="78">
        <f>L8/K8*100</f>
        <v>111.65510864539992</v>
      </c>
      <c r="N8" s="77">
        <f>L8/I8*100</f>
        <v>110.85050718318263</v>
      </c>
      <c r="O8" s="78">
        <v>117</v>
      </c>
      <c r="P8" s="78">
        <f>L8/G8*100</f>
        <v>118.32925036746693</v>
      </c>
      <c r="Q8" s="78">
        <f>P8-O8</f>
        <v>1.3292503674669263</v>
      </c>
      <c r="R8" s="71">
        <f>I8/D8*100</f>
        <v>107.35685424263328</v>
      </c>
      <c r="U8" s="39">
        <v>1</v>
      </c>
      <c r="V8" s="66" t="s">
        <v>0</v>
      </c>
      <c r="W8" s="72">
        <v>17668</v>
      </c>
      <c r="X8" s="72">
        <v>20294</v>
      </c>
      <c r="Y8" s="72">
        <v>21918</v>
      </c>
      <c r="Z8" s="73">
        <v>18599</v>
      </c>
      <c r="AA8" s="71">
        <v>20410</v>
      </c>
      <c r="AB8" s="72">
        <v>11041</v>
      </c>
      <c r="AC8" s="72">
        <v>12711</v>
      </c>
      <c r="AD8" s="72">
        <v>14965</v>
      </c>
      <c r="AE8" s="72">
        <v>12459</v>
      </c>
      <c r="AF8" s="72">
        <v>14013</v>
      </c>
      <c r="AG8" s="78">
        <f t="shared" si="2"/>
        <v>112.4729111485673</v>
      </c>
      <c r="AH8" s="71">
        <f t="shared" si="3"/>
        <v>110.24309653056407</v>
      </c>
      <c r="AI8" s="78">
        <v>68</v>
      </c>
      <c r="AJ8" s="72">
        <f>AF8/AA8*100</f>
        <v>68.65752082312592</v>
      </c>
      <c r="AK8" s="72">
        <f t="shared" si="4"/>
        <v>0.6575208231259211</v>
      </c>
      <c r="AL8" s="71">
        <f>AC8/X8*100</f>
        <v>62.634276140731245</v>
      </c>
      <c r="AM8" s="39">
        <v>1</v>
      </c>
      <c r="AN8" s="97" t="s">
        <v>0</v>
      </c>
      <c r="AO8" s="72">
        <v>17668</v>
      </c>
      <c r="AP8" s="72">
        <v>20294</v>
      </c>
      <c r="AQ8" s="72">
        <v>21918</v>
      </c>
      <c r="AR8" s="73">
        <v>18599</v>
      </c>
      <c r="AS8" s="71">
        <v>20410</v>
      </c>
      <c r="AT8" s="72">
        <v>6674</v>
      </c>
      <c r="AU8" s="72">
        <v>8629</v>
      </c>
      <c r="AV8" s="72">
        <v>10128</v>
      </c>
      <c r="AW8" s="72">
        <v>8072</v>
      </c>
      <c r="AX8" s="72">
        <v>9195</v>
      </c>
      <c r="AY8" s="78">
        <f t="shared" si="5"/>
        <v>113.91228939544102</v>
      </c>
      <c r="AZ8" s="71">
        <f t="shared" si="6"/>
        <v>106.55927685710975</v>
      </c>
      <c r="BA8" s="83">
        <v>46</v>
      </c>
      <c r="BB8" s="72">
        <f t="shared" si="7"/>
        <v>45.051445369916706</v>
      </c>
      <c r="BC8" s="72">
        <f t="shared" si="8"/>
        <v>-0.9485546300832937</v>
      </c>
      <c r="BD8" s="71">
        <f>AU8/AP8*100</f>
        <v>42.519956637429786</v>
      </c>
      <c r="CK8" s="42">
        <v>12394</v>
      </c>
      <c r="CL8" s="42">
        <v>14447</v>
      </c>
      <c r="CM8" s="42">
        <v>13354</v>
      </c>
      <c r="CN8" s="42">
        <v>14878</v>
      </c>
      <c r="CO8" s="42">
        <v>16424</v>
      </c>
    </row>
    <row r="9" spans="1:93" ht="18.75">
      <c r="A9" s="62">
        <v>2</v>
      </c>
      <c r="B9" s="66" t="s">
        <v>16</v>
      </c>
      <c r="C9" s="72">
        <v>13909</v>
      </c>
      <c r="D9" s="72">
        <v>16545</v>
      </c>
      <c r="E9" s="72">
        <v>18165</v>
      </c>
      <c r="F9" s="72">
        <v>15958</v>
      </c>
      <c r="G9" s="72">
        <v>17190</v>
      </c>
      <c r="H9" s="74">
        <v>20219</v>
      </c>
      <c r="I9" s="74">
        <v>25902</v>
      </c>
      <c r="J9" s="74">
        <v>29064</v>
      </c>
      <c r="K9" s="74">
        <v>21047</v>
      </c>
      <c r="L9" s="74">
        <v>24690.6</v>
      </c>
      <c r="M9" s="78">
        <f t="shared" si="0"/>
        <v>117.31173088801255</v>
      </c>
      <c r="N9" s="77">
        <f>L9/I9*100</f>
        <v>95.32314107018762</v>
      </c>
      <c r="O9" s="78">
        <v>160</v>
      </c>
      <c r="P9" s="78">
        <f>L9/G9*100</f>
        <v>143.63350785340313</v>
      </c>
      <c r="Q9" s="78">
        <f>P9-O9</f>
        <v>-16.36649214659687</v>
      </c>
      <c r="R9" s="71">
        <f aca="true" t="shared" si="9" ref="R9:R72">I9/D9*100</f>
        <v>156.55485040797825</v>
      </c>
      <c r="U9" s="39">
        <v>2</v>
      </c>
      <c r="V9" s="66" t="s">
        <v>16</v>
      </c>
      <c r="W9" s="72">
        <v>13909</v>
      </c>
      <c r="X9" s="72">
        <v>16545</v>
      </c>
      <c r="Y9" s="72">
        <v>18165</v>
      </c>
      <c r="Z9" s="72">
        <v>15958</v>
      </c>
      <c r="AA9" s="72">
        <v>17190</v>
      </c>
      <c r="AB9" s="74">
        <v>10356</v>
      </c>
      <c r="AC9" s="74">
        <v>13503</v>
      </c>
      <c r="AD9" s="74">
        <v>15858</v>
      </c>
      <c r="AE9" s="74">
        <v>10428</v>
      </c>
      <c r="AF9" s="74">
        <v>12297.6</v>
      </c>
      <c r="AG9" s="78">
        <f t="shared" si="2"/>
        <v>117.92865362485617</v>
      </c>
      <c r="AH9" s="71">
        <f t="shared" si="3"/>
        <v>91.07309486780716</v>
      </c>
      <c r="AI9" s="78">
        <v>87</v>
      </c>
      <c r="AJ9" s="72">
        <f>AF9/AA9*100</f>
        <v>71.53926701570681</v>
      </c>
      <c r="AK9" s="72">
        <f t="shared" si="4"/>
        <v>-15.460732984293188</v>
      </c>
      <c r="AL9" s="71">
        <f aca="true" t="shared" si="10" ref="AL9:AL72">AC9/X9*100</f>
        <v>81.6137805983681</v>
      </c>
      <c r="AM9" s="39">
        <v>2</v>
      </c>
      <c r="AN9" s="97" t="s">
        <v>16</v>
      </c>
      <c r="AO9" s="72">
        <v>13909</v>
      </c>
      <c r="AP9" s="72">
        <v>16545</v>
      </c>
      <c r="AQ9" s="72">
        <v>18165</v>
      </c>
      <c r="AR9" s="72">
        <v>15958</v>
      </c>
      <c r="AS9" s="72">
        <v>17190</v>
      </c>
      <c r="AT9" s="74">
        <v>5653.2</v>
      </c>
      <c r="AU9" s="74">
        <v>7466.6</v>
      </c>
      <c r="AV9" s="74">
        <v>9264</v>
      </c>
      <c r="AW9" s="74">
        <v>6570.9</v>
      </c>
      <c r="AX9" s="74">
        <v>7831.3</v>
      </c>
      <c r="AY9" s="78">
        <f t="shared" si="5"/>
        <v>119.1815428632303</v>
      </c>
      <c r="AZ9" s="71">
        <f t="shared" si="6"/>
        <v>104.88441861088045</v>
      </c>
      <c r="BA9" s="78">
        <v>51</v>
      </c>
      <c r="BB9" s="72">
        <f t="shared" si="7"/>
        <v>45.55730075625364</v>
      </c>
      <c r="BC9" s="72">
        <f t="shared" si="8"/>
        <v>-5.442699243746361</v>
      </c>
      <c r="BD9" s="71">
        <f aca="true" t="shared" si="11" ref="BD9:BD72">AU9/AP9*100</f>
        <v>45.12904200664853</v>
      </c>
      <c r="CK9" s="43">
        <v>10429</v>
      </c>
      <c r="CL9" s="43">
        <v>13343.6</v>
      </c>
      <c r="CM9" s="43">
        <v>11613.9</v>
      </c>
      <c r="CN9" s="43">
        <v>13739.6</v>
      </c>
      <c r="CO9" s="43">
        <v>14000</v>
      </c>
    </row>
    <row r="10" spans="1:93" ht="18.75">
      <c r="A10" s="62">
        <v>3</v>
      </c>
      <c r="B10" s="66" t="s">
        <v>17</v>
      </c>
      <c r="C10" s="72">
        <v>16313.9</v>
      </c>
      <c r="D10" s="72">
        <v>18092.6</v>
      </c>
      <c r="E10" s="72">
        <v>20180</v>
      </c>
      <c r="F10" s="72">
        <v>16335.9</v>
      </c>
      <c r="G10" s="72">
        <v>18687.5</v>
      </c>
      <c r="H10" s="72">
        <v>24202</v>
      </c>
      <c r="I10" s="72">
        <v>28336.4</v>
      </c>
      <c r="J10" s="72">
        <v>31622.1</v>
      </c>
      <c r="K10" s="72">
        <v>25201.35</v>
      </c>
      <c r="L10" s="72">
        <v>28275.1</v>
      </c>
      <c r="M10" s="78">
        <f t="shared" si="0"/>
        <v>112.19676723667583</v>
      </c>
      <c r="N10" s="77">
        <f t="shared" si="1"/>
        <v>99.78367047331346</v>
      </c>
      <c r="O10" s="78">
        <v>156</v>
      </c>
      <c r="P10" s="78">
        <f>L10/G10*100</f>
        <v>151.3048829431438</v>
      </c>
      <c r="Q10" s="78">
        <f>P10-O10</f>
        <v>-4.695117056856191</v>
      </c>
      <c r="R10" s="71">
        <f t="shared" si="9"/>
        <v>156.61872809878074</v>
      </c>
      <c r="U10" s="39">
        <v>3</v>
      </c>
      <c r="V10" s="66" t="s">
        <v>17</v>
      </c>
      <c r="W10" s="72">
        <v>16313.9</v>
      </c>
      <c r="X10" s="72">
        <v>18092.6</v>
      </c>
      <c r="Y10" s="72">
        <v>20180</v>
      </c>
      <c r="Z10" s="72">
        <v>16335.9</v>
      </c>
      <c r="AA10" s="72">
        <v>18687.5</v>
      </c>
      <c r="AB10" s="78">
        <v>13164.28</v>
      </c>
      <c r="AC10" s="78">
        <v>14893.1</v>
      </c>
      <c r="AD10" s="72">
        <v>16701</v>
      </c>
      <c r="AE10" s="78">
        <v>13647.61</v>
      </c>
      <c r="AF10" s="78">
        <v>15219.16</v>
      </c>
      <c r="AG10" s="78">
        <f t="shared" si="2"/>
        <v>111.51520302822252</v>
      </c>
      <c r="AH10" s="71">
        <f t="shared" si="3"/>
        <v>102.18933600123547</v>
      </c>
      <c r="AI10" s="78">
        <v>82</v>
      </c>
      <c r="AJ10" s="72">
        <f aca="true" t="shared" si="12" ref="AJ10:AJ25">AF10/AA10*100</f>
        <v>81.4403210702341</v>
      </c>
      <c r="AK10" s="72">
        <f t="shared" si="4"/>
        <v>-0.5596789297658944</v>
      </c>
      <c r="AL10" s="71">
        <f t="shared" si="10"/>
        <v>82.31597448680677</v>
      </c>
      <c r="AM10" s="39">
        <v>3</v>
      </c>
      <c r="AN10" s="97" t="s">
        <v>17</v>
      </c>
      <c r="AO10" s="72">
        <v>16313.9</v>
      </c>
      <c r="AP10" s="72">
        <v>18092.6</v>
      </c>
      <c r="AQ10" s="72">
        <v>20180</v>
      </c>
      <c r="AR10" s="72">
        <v>16335.9</v>
      </c>
      <c r="AS10" s="72">
        <v>18687.5</v>
      </c>
      <c r="AT10" s="78">
        <v>6516.3</v>
      </c>
      <c r="AU10" s="78">
        <v>7778.4</v>
      </c>
      <c r="AV10" s="72">
        <v>9968.9</v>
      </c>
      <c r="AW10" s="78">
        <v>7091.31</v>
      </c>
      <c r="AX10" s="78">
        <v>7921.36</v>
      </c>
      <c r="AY10" s="78">
        <f t="shared" si="5"/>
        <v>111.70517154094235</v>
      </c>
      <c r="AZ10" s="71">
        <f t="shared" si="6"/>
        <v>101.83791011004834</v>
      </c>
      <c r="BA10" s="78">
        <v>50</v>
      </c>
      <c r="BB10" s="72">
        <f t="shared" si="7"/>
        <v>42.388548494983276</v>
      </c>
      <c r="BC10" s="72">
        <f t="shared" si="8"/>
        <v>-7.611451505016724</v>
      </c>
      <c r="BD10" s="71">
        <f t="shared" si="11"/>
        <v>42.99216254159159</v>
      </c>
      <c r="CK10" s="40">
        <v>14185.6</v>
      </c>
      <c r="CL10" s="40">
        <v>15685</v>
      </c>
      <c r="CM10" s="40">
        <v>14495.59</v>
      </c>
      <c r="CN10" s="40">
        <v>15780</v>
      </c>
      <c r="CO10" s="40">
        <v>16567</v>
      </c>
    </row>
    <row r="11" spans="1:93" s="69" customFormat="1" ht="18.75">
      <c r="A11" s="130">
        <v>4</v>
      </c>
      <c r="B11" s="131" t="s">
        <v>18</v>
      </c>
      <c r="C11" s="78">
        <v>17335</v>
      </c>
      <c r="D11" s="78">
        <v>19047</v>
      </c>
      <c r="E11" s="78">
        <v>21428</v>
      </c>
      <c r="F11" s="83"/>
      <c r="G11" s="77"/>
      <c r="H11" s="78">
        <v>19867.71</v>
      </c>
      <c r="I11" s="78">
        <v>24682.7</v>
      </c>
      <c r="J11" s="78">
        <v>26536.9</v>
      </c>
      <c r="K11" s="78">
        <v>20414.1</v>
      </c>
      <c r="L11" s="78">
        <v>24841.8</v>
      </c>
      <c r="M11" s="78">
        <f t="shared" si="0"/>
        <v>121.6894205475627</v>
      </c>
      <c r="N11" s="77">
        <f t="shared" si="1"/>
        <v>100.64458102233547</v>
      </c>
      <c r="O11" s="78">
        <v>129</v>
      </c>
      <c r="P11" s="78"/>
      <c r="Q11" s="78"/>
      <c r="R11" s="77">
        <f t="shared" si="9"/>
        <v>129.58838662256525</v>
      </c>
      <c r="S11" s="134"/>
      <c r="U11" s="135">
        <v>4</v>
      </c>
      <c r="V11" s="131" t="s">
        <v>18</v>
      </c>
      <c r="W11" s="78">
        <v>17335</v>
      </c>
      <c r="X11" s="78">
        <v>19047</v>
      </c>
      <c r="Y11" s="78">
        <v>21428</v>
      </c>
      <c r="Z11" s="83"/>
      <c r="AA11" s="77"/>
      <c r="AB11" s="78">
        <v>10719.4</v>
      </c>
      <c r="AC11" s="78">
        <v>13047.6</v>
      </c>
      <c r="AD11" s="78">
        <v>13866.4</v>
      </c>
      <c r="AE11" s="78">
        <v>12270.9</v>
      </c>
      <c r="AF11" s="78">
        <v>13473.8</v>
      </c>
      <c r="AG11" s="78">
        <f t="shared" si="2"/>
        <v>109.80286694537482</v>
      </c>
      <c r="AH11" s="77">
        <f t="shared" si="3"/>
        <v>103.26650111897973</v>
      </c>
      <c r="AI11" s="78">
        <v>75</v>
      </c>
      <c r="AJ11" s="72"/>
      <c r="AK11" s="78"/>
      <c r="AL11" s="77">
        <f t="shared" si="10"/>
        <v>68.50212631910537</v>
      </c>
      <c r="AM11" s="135">
        <v>4</v>
      </c>
      <c r="AN11" s="136" t="s">
        <v>18</v>
      </c>
      <c r="AO11" s="78">
        <v>17335</v>
      </c>
      <c r="AP11" s="78">
        <v>19047</v>
      </c>
      <c r="AQ11" s="78">
        <v>21428</v>
      </c>
      <c r="AR11" s="83"/>
      <c r="AS11" s="77"/>
      <c r="AT11" s="78">
        <v>6727.6</v>
      </c>
      <c r="AU11" s="78">
        <v>7720.5</v>
      </c>
      <c r="AV11" s="78">
        <v>8317.1</v>
      </c>
      <c r="AW11" s="78">
        <v>7606.4</v>
      </c>
      <c r="AX11" s="78">
        <v>8013.1</v>
      </c>
      <c r="AY11" s="78">
        <f t="shared" si="5"/>
        <v>105.34681320992848</v>
      </c>
      <c r="AZ11" s="77">
        <f t="shared" si="6"/>
        <v>103.78990997992359</v>
      </c>
      <c r="BA11" s="83">
        <v>50</v>
      </c>
      <c r="BB11" s="78"/>
      <c r="BC11" s="78"/>
      <c r="BD11" s="77">
        <f t="shared" si="11"/>
        <v>40.53394235312648</v>
      </c>
      <c r="BE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K11" s="137">
        <v>11475.2</v>
      </c>
      <c r="CL11" s="137">
        <v>14154.2</v>
      </c>
      <c r="CM11" s="137">
        <v>12776.9</v>
      </c>
      <c r="CN11" s="137">
        <v>14558.5</v>
      </c>
      <c r="CO11" s="137">
        <v>15023.9</v>
      </c>
    </row>
    <row r="12" spans="1:93" ht="18.75">
      <c r="A12" s="62">
        <v>5</v>
      </c>
      <c r="B12" s="66" t="s">
        <v>19</v>
      </c>
      <c r="C12" s="71">
        <v>14436.2</v>
      </c>
      <c r="D12" s="71">
        <v>16229.7</v>
      </c>
      <c r="E12" s="71">
        <v>18015</v>
      </c>
      <c r="F12" s="72">
        <v>16229.7</v>
      </c>
      <c r="G12" s="71">
        <v>16782</v>
      </c>
      <c r="H12" s="71">
        <v>19261.9</v>
      </c>
      <c r="I12" s="71">
        <v>24819.5</v>
      </c>
      <c r="J12" s="71">
        <v>25411.2</v>
      </c>
      <c r="K12" s="74">
        <v>22006.7</v>
      </c>
      <c r="L12" s="71">
        <v>25567.9</v>
      </c>
      <c r="M12" s="78">
        <f t="shared" si="0"/>
        <v>116.18234446782117</v>
      </c>
      <c r="N12" s="77">
        <f t="shared" si="1"/>
        <v>103.01537097846452</v>
      </c>
      <c r="O12" s="77">
        <v>129</v>
      </c>
      <c r="P12" s="78">
        <f aca="true" t="shared" si="13" ref="P12:P21">L12/G12*100</f>
        <v>152.35311643427482</v>
      </c>
      <c r="Q12" s="78">
        <f aca="true" t="shared" si="14" ref="Q12:Q21">P12-O12</f>
        <v>23.353116434274824</v>
      </c>
      <c r="R12" s="71">
        <f t="shared" si="9"/>
        <v>152.92642501093673</v>
      </c>
      <c r="U12" s="39">
        <v>5</v>
      </c>
      <c r="V12" s="66" t="s">
        <v>19</v>
      </c>
      <c r="W12" s="71">
        <v>14436.2</v>
      </c>
      <c r="X12" s="71">
        <v>16229.7</v>
      </c>
      <c r="Y12" s="71">
        <v>18015</v>
      </c>
      <c r="Z12" s="72">
        <v>16229.7</v>
      </c>
      <c r="AA12" s="71">
        <v>16782</v>
      </c>
      <c r="AB12" s="71">
        <v>10267.9</v>
      </c>
      <c r="AC12" s="71">
        <v>12723.9</v>
      </c>
      <c r="AD12" s="71">
        <v>13619.3</v>
      </c>
      <c r="AE12" s="72">
        <v>11660</v>
      </c>
      <c r="AF12" s="71">
        <v>13688.5</v>
      </c>
      <c r="AG12" s="78">
        <f t="shared" si="2"/>
        <v>117.39708404802744</v>
      </c>
      <c r="AH12" s="71">
        <f t="shared" si="3"/>
        <v>107.58100896737636</v>
      </c>
      <c r="AI12" s="77">
        <v>75</v>
      </c>
      <c r="AJ12" s="72">
        <f t="shared" si="12"/>
        <v>81.56655940889048</v>
      </c>
      <c r="AK12" s="72">
        <f t="shared" si="4"/>
        <v>6.566559408890484</v>
      </c>
      <c r="AL12" s="71">
        <f t="shared" si="10"/>
        <v>78.39886134679014</v>
      </c>
      <c r="AM12" s="39">
        <v>5</v>
      </c>
      <c r="AN12" s="97" t="s">
        <v>19</v>
      </c>
      <c r="AO12" s="71">
        <v>14436.2</v>
      </c>
      <c r="AP12" s="71">
        <v>16229.7</v>
      </c>
      <c r="AQ12" s="71">
        <v>18015</v>
      </c>
      <c r="AR12" s="72">
        <v>16229.7</v>
      </c>
      <c r="AS12" s="71">
        <v>16782</v>
      </c>
      <c r="AT12" s="71">
        <v>5784.9</v>
      </c>
      <c r="AU12" s="72">
        <v>6427.8</v>
      </c>
      <c r="AV12" s="71">
        <v>9025.5</v>
      </c>
      <c r="AW12" s="72">
        <v>6023.9</v>
      </c>
      <c r="AX12" s="71">
        <v>7724.6</v>
      </c>
      <c r="AY12" s="78">
        <f t="shared" si="5"/>
        <v>128.23254038081643</v>
      </c>
      <c r="AZ12" s="77">
        <f t="shared" si="6"/>
        <v>120.17486542829585</v>
      </c>
      <c r="BA12" s="78">
        <v>50</v>
      </c>
      <c r="BB12" s="78">
        <f t="shared" si="7"/>
        <v>46.029078774877846</v>
      </c>
      <c r="BC12" s="78">
        <f t="shared" si="8"/>
        <v>-3.9709212251221544</v>
      </c>
      <c r="BD12" s="77">
        <f t="shared" si="11"/>
        <v>39.60516830255643</v>
      </c>
      <c r="CK12" s="41">
        <v>12998.3</v>
      </c>
      <c r="CL12" s="41">
        <v>13557.8</v>
      </c>
      <c r="CM12" s="42">
        <v>13557.8</v>
      </c>
      <c r="CN12" s="41">
        <v>14718.4</v>
      </c>
      <c r="CO12" s="41">
        <v>16702.1</v>
      </c>
    </row>
    <row r="13" spans="1:93" ht="18.75">
      <c r="A13" s="62">
        <v>6</v>
      </c>
      <c r="B13" s="66" t="s">
        <v>20</v>
      </c>
      <c r="C13" s="71">
        <v>20556</v>
      </c>
      <c r="D13" s="71">
        <v>23407</v>
      </c>
      <c r="E13" s="71">
        <v>26528</v>
      </c>
      <c r="F13" s="71">
        <v>21863</v>
      </c>
      <c r="G13" s="71">
        <v>23600</v>
      </c>
      <c r="H13" s="71">
        <v>27567</v>
      </c>
      <c r="I13" s="71">
        <v>35839</v>
      </c>
      <c r="J13" s="71">
        <v>39560</v>
      </c>
      <c r="K13" s="71">
        <v>30768</v>
      </c>
      <c r="L13" s="71">
        <v>35934</v>
      </c>
      <c r="M13" s="78">
        <f t="shared" si="0"/>
        <v>116.79017160686426</v>
      </c>
      <c r="N13" s="77">
        <f t="shared" si="1"/>
        <v>100.26507436033371</v>
      </c>
      <c r="O13" s="77">
        <v>149</v>
      </c>
      <c r="P13" s="78">
        <f t="shared" si="13"/>
        <v>152.26271186440678</v>
      </c>
      <c r="Q13" s="78">
        <f t="shared" si="14"/>
        <v>3.262711864406782</v>
      </c>
      <c r="R13" s="71">
        <f t="shared" si="9"/>
        <v>153.1123168282992</v>
      </c>
      <c r="U13" s="39">
        <v>6</v>
      </c>
      <c r="V13" s="66" t="s">
        <v>20</v>
      </c>
      <c r="W13" s="71">
        <v>20556</v>
      </c>
      <c r="X13" s="71">
        <v>23407</v>
      </c>
      <c r="Y13" s="71">
        <v>26528</v>
      </c>
      <c r="Z13" s="71">
        <v>21863</v>
      </c>
      <c r="AA13" s="71">
        <v>23600</v>
      </c>
      <c r="AB13" s="71">
        <v>14879</v>
      </c>
      <c r="AC13" s="71">
        <v>19757</v>
      </c>
      <c r="AD13" s="71">
        <v>20053</v>
      </c>
      <c r="AE13" s="71">
        <v>17987</v>
      </c>
      <c r="AF13" s="71">
        <v>20162</v>
      </c>
      <c r="AG13" s="78">
        <f t="shared" si="2"/>
        <v>112.09206649246678</v>
      </c>
      <c r="AH13" s="71">
        <f t="shared" si="3"/>
        <v>102.04990636230198</v>
      </c>
      <c r="AI13" s="77">
        <v>75</v>
      </c>
      <c r="AJ13" s="72">
        <f t="shared" si="12"/>
        <v>85.4322033898305</v>
      </c>
      <c r="AK13" s="72">
        <f t="shared" si="4"/>
        <v>10.432203389830505</v>
      </c>
      <c r="AL13" s="71">
        <f t="shared" si="10"/>
        <v>84.4063741615756</v>
      </c>
      <c r="AM13" s="39">
        <v>6</v>
      </c>
      <c r="AN13" s="97" t="s">
        <v>20</v>
      </c>
      <c r="AO13" s="71">
        <v>20556</v>
      </c>
      <c r="AP13" s="71">
        <v>23407</v>
      </c>
      <c r="AQ13" s="71">
        <v>26528</v>
      </c>
      <c r="AR13" s="71">
        <v>21863</v>
      </c>
      <c r="AS13" s="71">
        <v>23600</v>
      </c>
      <c r="AT13" s="71">
        <v>8168</v>
      </c>
      <c r="AU13" s="71">
        <v>10889</v>
      </c>
      <c r="AV13" s="71">
        <v>11244</v>
      </c>
      <c r="AW13" s="71">
        <v>10255</v>
      </c>
      <c r="AX13" s="71">
        <v>11364</v>
      </c>
      <c r="AY13" s="78">
        <f t="shared" si="5"/>
        <v>110.81423695758166</v>
      </c>
      <c r="AZ13" s="77">
        <f t="shared" si="6"/>
        <v>104.36220038571035</v>
      </c>
      <c r="BA13" s="77">
        <v>42</v>
      </c>
      <c r="BB13" s="78">
        <f t="shared" si="7"/>
        <v>48.152542372881356</v>
      </c>
      <c r="BC13" s="78">
        <f t="shared" si="8"/>
        <v>6.152542372881356</v>
      </c>
      <c r="BD13" s="77">
        <f t="shared" si="11"/>
        <v>46.52027171358995</v>
      </c>
      <c r="CK13" s="41">
        <v>15217</v>
      </c>
      <c r="CL13" s="41">
        <v>21190</v>
      </c>
      <c r="CM13" s="41">
        <v>18613</v>
      </c>
      <c r="CN13" s="41">
        <v>21190</v>
      </c>
      <c r="CO13" s="41">
        <v>22659</v>
      </c>
    </row>
    <row r="14" spans="1:93" ht="18.75">
      <c r="A14" s="62">
        <v>7</v>
      </c>
      <c r="B14" s="66" t="s">
        <v>21</v>
      </c>
      <c r="C14" s="72">
        <v>14891</v>
      </c>
      <c r="D14" s="72">
        <v>16379</v>
      </c>
      <c r="E14" s="72">
        <v>18181</v>
      </c>
      <c r="F14" s="72">
        <v>16379</v>
      </c>
      <c r="G14" s="72">
        <v>18181</v>
      </c>
      <c r="H14" s="72">
        <v>22751</v>
      </c>
      <c r="I14" s="72">
        <v>24512</v>
      </c>
      <c r="J14" s="72">
        <v>29414</v>
      </c>
      <c r="K14" s="72">
        <v>22954</v>
      </c>
      <c r="L14" s="72">
        <v>29151.8</v>
      </c>
      <c r="M14" s="78">
        <f t="shared" si="0"/>
        <v>127.00095843861637</v>
      </c>
      <c r="N14" s="77">
        <f t="shared" si="1"/>
        <v>118.92868798955614</v>
      </c>
      <c r="O14" s="78">
        <v>161</v>
      </c>
      <c r="P14" s="78">
        <f t="shared" si="13"/>
        <v>160.3421153951928</v>
      </c>
      <c r="Q14" s="78">
        <f t="shared" si="14"/>
        <v>-0.657884604807208</v>
      </c>
      <c r="R14" s="71">
        <f t="shared" si="9"/>
        <v>149.65504609561023</v>
      </c>
      <c r="U14" s="39">
        <v>7</v>
      </c>
      <c r="V14" s="66" t="s">
        <v>21</v>
      </c>
      <c r="W14" s="72">
        <v>14891</v>
      </c>
      <c r="X14" s="72">
        <v>16379</v>
      </c>
      <c r="Y14" s="72">
        <v>18181</v>
      </c>
      <c r="Z14" s="72">
        <v>16379</v>
      </c>
      <c r="AA14" s="72">
        <v>18181</v>
      </c>
      <c r="AB14" s="72">
        <v>12375</v>
      </c>
      <c r="AC14" s="72">
        <v>12940</v>
      </c>
      <c r="AD14" s="72">
        <v>14881</v>
      </c>
      <c r="AE14" s="72">
        <v>12397</v>
      </c>
      <c r="AF14" s="72">
        <v>14244.9</v>
      </c>
      <c r="AG14" s="78">
        <f t="shared" si="2"/>
        <v>114.90602565136727</v>
      </c>
      <c r="AH14" s="71">
        <f t="shared" si="3"/>
        <v>110.0842349304482</v>
      </c>
      <c r="AI14" s="78">
        <v>81</v>
      </c>
      <c r="AJ14" s="72">
        <f t="shared" si="12"/>
        <v>78.3504757714097</v>
      </c>
      <c r="AK14" s="72">
        <f t="shared" si="4"/>
        <v>-2.6495242285902947</v>
      </c>
      <c r="AL14" s="71">
        <f t="shared" si="10"/>
        <v>79.00360217351486</v>
      </c>
      <c r="AM14" s="39">
        <v>7</v>
      </c>
      <c r="AN14" s="97" t="s">
        <v>21</v>
      </c>
      <c r="AO14" s="72">
        <v>14891</v>
      </c>
      <c r="AP14" s="72">
        <v>16379</v>
      </c>
      <c r="AQ14" s="72">
        <v>18181</v>
      </c>
      <c r="AR14" s="72">
        <v>16379</v>
      </c>
      <c r="AS14" s="72">
        <v>18181</v>
      </c>
      <c r="AT14" s="72">
        <v>6983</v>
      </c>
      <c r="AU14" s="72">
        <v>7862</v>
      </c>
      <c r="AV14" s="72">
        <v>9104</v>
      </c>
      <c r="AW14" s="72">
        <v>7306</v>
      </c>
      <c r="AX14" s="72">
        <v>8663</v>
      </c>
      <c r="AY14" s="78">
        <f t="shared" si="5"/>
        <v>118.57377497946892</v>
      </c>
      <c r="AZ14" s="77">
        <f t="shared" si="6"/>
        <v>110.1882472653269</v>
      </c>
      <c r="BA14" s="78">
        <v>50</v>
      </c>
      <c r="BB14" s="78">
        <f t="shared" si="7"/>
        <v>47.648644188988506</v>
      </c>
      <c r="BC14" s="78">
        <f t="shared" si="8"/>
        <v>-2.3513558110114943</v>
      </c>
      <c r="BD14" s="77">
        <f t="shared" si="11"/>
        <v>48.0004884303071</v>
      </c>
      <c r="CK14" s="42">
        <v>12075.9</v>
      </c>
      <c r="CL14" s="42">
        <v>14307.9</v>
      </c>
      <c r="CM14" s="31">
        <v>13575.1</v>
      </c>
      <c r="CN14" s="42">
        <v>15307.3</v>
      </c>
      <c r="CO14" s="42">
        <v>16096.4</v>
      </c>
    </row>
    <row r="15" spans="1:93" s="69" customFormat="1" ht="18.75">
      <c r="A15" s="130">
        <v>8</v>
      </c>
      <c r="B15" s="131" t="s">
        <v>22</v>
      </c>
      <c r="C15" s="77">
        <v>16241</v>
      </c>
      <c r="D15" s="77">
        <v>18447</v>
      </c>
      <c r="E15" s="77">
        <v>20645</v>
      </c>
      <c r="F15" s="77"/>
      <c r="G15" s="77">
        <v>19457</v>
      </c>
      <c r="H15" s="77">
        <v>20602</v>
      </c>
      <c r="I15" s="77">
        <v>24021</v>
      </c>
      <c r="J15" s="77">
        <v>26776.57</v>
      </c>
      <c r="K15" s="77">
        <v>19926</v>
      </c>
      <c r="L15" s="77">
        <v>25862.42</v>
      </c>
      <c r="M15" s="78">
        <f t="shared" si="0"/>
        <v>129.79233162701996</v>
      </c>
      <c r="N15" s="77">
        <f t="shared" si="1"/>
        <v>107.66587569210273</v>
      </c>
      <c r="O15" s="77">
        <v>129</v>
      </c>
      <c r="P15" s="78">
        <f t="shared" si="13"/>
        <v>132.92090250295524</v>
      </c>
      <c r="Q15" s="78">
        <f t="shared" si="14"/>
        <v>3.9209025029552436</v>
      </c>
      <c r="R15" s="77">
        <f t="shared" si="9"/>
        <v>130.2162953325744</v>
      </c>
      <c r="S15" s="134"/>
      <c r="U15" s="135">
        <v>8</v>
      </c>
      <c r="V15" s="131" t="s">
        <v>22</v>
      </c>
      <c r="W15" s="77">
        <v>16241</v>
      </c>
      <c r="X15" s="77">
        <v>18447</v>
      </c>
      <c r="Y15" s="77">
        <v>20645</v>
      </c>
      <c r="Z15" s="77"/>
      <c r="AA15" s="77">
        <v>19457</v>
      </c>
      <c r="AB15" s="77">
        <v>10837.1</v>
      </c>
      <c r="AC15" s="77">
        <v>12890.6</v>
      </c>
      <c r="AD15" s="77">
        <v>15607.62</v>
      </c>
      <c r="AE15" s="77">
        <v>11174</v>
      </c>
      <c r="AF15" s="77">
        <v>15152.52</v>
      </c>
      <c r="AG15" s="78">
        <f t="shared" si="2"/>
        <v>135.6051548236979</v>
      </c>
      <c r="AH15" s="77">
        <f t="shared" si="3"/>
        <v>117.54704978821778</v>
      </c>
      <c r="AI15" s="77">
        <v>75</v>
      </c>
      <c r="AJ15" s="78">
        <f t="shared" si="12"/>
        <v>77.87695944904148</v>
      </c>
      <c r="AK15" s="78">
        <f t="shared" si="4"/>
        <v>2.876959449041479</v>
      </c>
      <c r="AL15" s="77">
        <f t="shared" si="10"/>
        <v>69.8791131349271</v>
      </c>
      <c r="AM15" s="135">
        <v>8</v>
      </c>
      <c r="AN15" s="136" t="s">
        <v>22</v>
      </c>
      <c r="AO15" s="77">
        <v>16241</v>
      </c>
      <c r="AP15" s="77">
        <v>18447</v>
      </c>
      <c r="AQ15" s="77">
        <v>20645</v>
      </c>
      <c r="AR15" s="77"/>
      <c r="AS15" s="77">
        <v>19457</v>
      </c>
      <c r="AT15" s="77">
        <v>6239</v>
      </c>
      <c r="AU15" s="77">
        <v>7646</v>
      </c>
      <c r="AV15" s="77">
        <v>10343.15</v>
      </c>
      <c r="AW15" s="77">
        <v>6618</v>
      </c>
      <c r="AX15" s="77">
        <v>9936.61</v>
      </c>
      <c r="AY15" s="78">
        <f t="shared" si="5"/>
        <v>150.14521003324268</v>
      </c>
      <c r="AZ15" s="77">
        <f t="shared" si="6"/>
        <v>129.9582788386084</v>
      </c>
      <c r="BA15" s="77">
        <v>50</v>
      </c>
      <c r="BB15" s="78">
        <f t="shared" si="7"/>
        <v>51.0695893508763</v>
      </c>
      <c r="BC15" s="78">
        <f t="shared" si="8"/>
        <v>1.0695893508762992</v>
      </c>
      <c r="BD15" s="77">
        <f t="shared" si="11"/>
        <v>41.44847400661354</v>
      </c>
      <c r="BE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K15" s="139">
        <v>11549.4</v>
      </c>
      <c r="CL15" s="139">
        <v>13616</v>
      </c>
      <c r="CM15" s="139">
        <v>11705</v>
      </c>
      <c r="CN15" s="139">
        <v>15920.3</v>
      </c>
      <c r="CO15" s="139">
        <v>15370</v>
      </c>
    </row>
    <row r="16" spans="1:93" ht="18.75">
      <c r="A16" s="62">
        <v>9</v>
      </c>
      <c r="B16" s="66" t="s">
        <v>23</v>
      </c>
      <c r="C16" s="71">
        <v>16745</v>
      </c>
      <c r="D16" s="71">
        <v>19594</v>
      </c>
      <c r="E16" s="71">
        <v>21685</v>
      </c>
      <c r="F16" s="71">
        <v>17232</v>
      </c>
      <c r="G16" s="71" t="s">
        <v>103</v>
      </c>
      <c r="H16" s="71">
        <v>20145</v>
      </c>
      <c r="I16" s="71">
        <v>24182</v>
      </c>
      <c r="J16" s="71">
        <v>28600</v>
      </c>
      <c r="K16" s="71">
        <v>20493</v>
      </c>
      <c r="L16" s="71">
        <v>24825</v>
      </c>
      <c r="M16" s="78">
        <f t="shared" si="0"/>
        <v>121.13892548675157</v>
      </c>
      <c r="N16" s="77">
        <f t="shared" si="1"/>
        <v>102.65900256389048</v>
      </c>
      <c r="O16" s="77">
        <v>131</v>
      </c>
      <c r="P16" s="78">
        <v>130</v>
      </c>
      <c r="Q16" s="78">
        <f t="shared" si="14"/>
        <v>-1</v>
      </c>
      <c r="R16" s="71">
        <f t="shared" si="9"/>
        <v>123.41533122384402</v>
      </c>
      <c r="U16" s="39">
        <v>9</v>
      </c>
      <c r="V16" s="66" t="s">
        <v>23</v>
      </c>
      <c r="W16" s="71">
        <v>16745</v>
      </c>
      <c r="X16" s="71">
        <v>19594</v>
      </c>
      <c r="Y16" s="71">
        <v>21685</v>
      </c>
      <c r="Z16" s="71">
        <v>17232</v>
      </c>
      <c r="AA16" s="71" t="s">
        <v>103</v>
      </c>
      <c r="AB16" s="71">
        <v>10918</v>
      </c>
      <c r="AC16" s="71">
        <v>12716</v>
      </c>
      <c r="AD16" s="71">
        <v>14840</v>
      </c>
      <c r="AE16" s="71">
        <v>11063</v>
      </c>
      <c r="AF16" s="71">
        <v>13613</v>
      </c>
      <c r="AG16" s="78">
        <f t="shared" si="2"/>
        <v>123.04980565850133</v>
      </c>
      <c r="AH16" s="71">
        <f t="shared" si="3"/>
        <v>107.0541050644857</v>
      </c>
      <c r="AI16" s="77">
        <v>68</v>
      </c>
      <c r="AJ16" s="78">
        <v>72</v>
      </c>
      <c r="AK16" s="72">
        <v>4</v>
      </c>
      <c r="AL16" s="71">
        <f t="shared" si="10"/>
        <v>64.89741757680922</v>
      </c>
      <c r="AM16" s="39">
        <v>9</v>
      </c>
      <c r="AN16" s="97" t="s">
        <v>23</v>
      </c>
      <c r="AO16" s="71">
        <v>16745</v>
      </c>
      <c r="AP16" s="71">
        <v>19594</v>
      </c>
      <c r="AQ16" s="71">
        <v>21685</v>
      </c>
      <c r="AR16" s="71">
        <v>17232</v>
      </c>
      <c r="AS16" s="71" t="s">
        <v>103</v>
      </c>
      <c r="AT16" s="71">
        <v>7178</v>
      </c>
      <c r="AU16" s="71">
        <v>8075</v>
      </c>
      <c r="AV16" s="71">
        <v>9700</v>
      </c>
      <c r="AW16" s="71">
        <v>7373</v>
      </c>
      <c r="AX16" s="71">
        <v>8855</v>
      </c>
      <c r="AY16" s="78">
        <f t="shared" si="5"/>
        <v>120.10036620100367</v>
      </c>
      <c r="AZ16" s="77">
        <f t="shared" si="6"/>
        <v>109.6594427244582</v>
      </c>
      <c r="BA16" s="77">
        <v>44</v>
      </c>
      <c r="BB16" s="78"/>
      <c r="BC16" s="78"/>
      <c r="BD16" s="77">
        <f t="shared" si="11"/>
        <v>41.21159538634276</v>
      </c>
      <c r="CK16" s="41">
        <v>11418</v>
      </c>
      <c r="CL16" s="41">
        <v>13426</v>
      </c>
      <c r="CM16" s="41">
        <v>11726</v>
      </c>
      <c r="CN16" s="41">
        <v>14391</v>
      </c>
      <c r="CO16" s="41">
        <v>16650</v>
      </c>
    </row>
    <row r="17" spans="1:93" s="69" customFormat="1" ht="18.75">
      <c r="A17" s="130">
        <v>10</v>
      </c>
      <c r="B17" s="131" t="s">
        <v>24</v>
      </c>
      <c r="C17" s="78">
        <v>28586</v>
      </c>
      <c r="D17" s="78">
        <v>32228</v>
      </c>
      <c r="E17" s="78">
        <v>35872</v>
      </c>
      <c r="F17" s="78">
        <v>29594</v>
      </c>
      <c r="G17" s="175">
        <v>32940</v>
      </c>
      <c r="H17" s="78">
        <v>35345.5</v>
      </c>
      <c r="I17" s="78">
        <v>44941</v>
      </c>
      <c r="J17" s="78">
        <f>H17*1.07</f>
        <v>37819.685000000005</v>
      </c>
      <c r="K17" s="78">
        <v>41369</v>
      </c>
      <c r="L17" s="78">
        <v>42302.78</v>
      </c>
      <c r="M17" s="78">
        <f t="shared" si="0"/>
        <v>102.25719741835672</v>
      </c>
      <c r="N17" s="77">
        <f t="shared" si="1"/>
        <v>94.12959213190626</v>
      </c>
      <c r="O17" s="78">
        <v>129.7</v>
      </c>
      <c r="P17" s="78">
        <v>128</v>
      </c>
      <c r="Q17" s="78">
        <f t="shared" si="14"/>
        <v>-1.6999999999999886</v>
      </c>
      <c r="R17" s="77">
        <f t="shared" si="9"/>
        <v>139.44706466426712</v>
      </c>
      <c r="S17" s="134"/>
      <c r="U17" s="135">
        <v>10</v>
      </c>
      <c r="V17" s="131" t="s">
        <v>24</v>
      </c>
      <c r="W17" s="78">
        <v>28586</v>
      </c>
      <c r="X17" s="78">
        <v>32228</v>
      </c>
      <c r="Y17" s="78">
        <v>35872</v>
      </c>
      <c r="Z17" s="132">
        <v>29594</v>
      </c>
      <c r="AA17" s="133">
        <v>32940</v>
      </c>
      <c r="AB17" s="78">
        <v>22088</v>
      </c>
      <c r="AC17" s="78">
        <v>27430.5</v>
      </c>
      <c r="AD17" s="78">
        <f>AB17*1.15</f>
        <v>25401.199999999997</v>
      </c>
      <c r="AE17" s="78">
        <v>26159.4</v>
      </c>
      <c r="AF17" s="78">
        <v>27463.24</v>
      </c>
      <c r="AG17" s="78">
        <f t="shared" si="2"/>
        <v>104.98421217612024</v>
      </c>
      <c r="AH17" s="77">
        <f t="shared" si="3"/>
        <v>100.11935619110115</v>
      </c>
      <c r="AI17" s="78">
        <v>75</v>
      </c>
      <c r="AJ17" s="78">
        <f t="shared" si="12"/>
        <v>83.37352762598664</v>
      </c>
      <c r="AK17" s="78">
        <f t="shared" si="4"/>
        <v>8.37352762598664</v>
      </c>
      <c r="AL17" s="77">
        <f t="shared" si="10"/>
        <v>85.11387613255555</v>
      </c>
      <c r="AM17" s="135">
        <v>10</v>
      </c>
      <c r="AN17" s="136" t="s">
        <v>24</v>
      </c>
      <c r="AO17" s="78">
        <v>28586</v>
      </c>
      <c r="AP17" s="78">
        <v>32228</v>
      </c>
      <c r="AQ17" s="78">
        <v>35872</v>
      </c>
      <c r="AR17" s="132">
        <v>29594</v>
      </c>
      <c r="AS17" s="133">
        <v>32940</v>
      </c>
      <c r="AT17" s="78">
        <v>9646</v>
      </c>
      <c r="AU17" s="78">
        <v>15728.4</v>
      </c>
      <c r="AV17" s="78">
        <f>AW17*1.233</f>
        <v>19381.2804</v>
      </c>
      <c r="AW17" s="78">
        <v>15718.8</v>
      </c>
      <c r="AX17" s="78">
        <v>16512.55</v>
      </c>
      <c r="AY17" s="78">
        <f t="shared" si="5"/>
        <v>105.04968572664579</v>
      </c>
      <c r="AZ17" s="77">
        <f t="shared" si="6"/>
        <v>104.98556750845604</v>
      </c>
      <c r="BA17" s="77">
        <v>50</v>
      </c>
      <c r="BB17" s="78">
        <f t="shared" si="7"/>
        <v>50.12917425622343</v>
      </c>
      <c r="BC17" s="78">
        <f t="shared" si="8"/>
        <v>0.12917425622342904</v>
      </c>
      <c r="BD17" s="77">
        <f t="shared" si="11"/>
        <v>48.803524885193</v>
      </c>
      <c r="BE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K17" s="137">
        <v>17098.2</v>
      </c>
      <c r="CL17" s="137">
        <v>28250</v>
      </c>
      <c r="CM17" s="137">
        <v>26879.5</v>
      </c>
      <c r="CN17" s="137">
        <v>28363.07</v>
      </c>
      <c r="CO17" s="137">
        <f>CM17*1.1</f>
        <v>29567.45</v>
      </c>
    </row>
    <row r="18" spans="1:93" ht="18.75">
      <c r="A18" s="62">
        <v>11</v>
      </c>
      <c r="B18" s="66" t="s">
        <v>25</v>
      </c>
      <c r="C18" s="72">
        <v>14529</v>
      </c>
      <c r="D18" s="72">
        <v>16922</v>
      </c>
      <c r="E18" s="72">
        <v>18217</v>
      </c>
      <c r="F18" s="72">
        <v>15158</v>
      </c>
      <c r="G18" s="72">
        <v>17220.3</v>
      </c>
      <c r="H18" s="74">
        <v>15914</v>
      </c>
      <c r="I18" s="74">
        <v>20935</v>
      </c>
      <c r="J18" s="74">
        <v>26902</v>
      </c>
      <c r="K18" s="74">
        <v>19970</v>
      </c>
      <c r="L18" s="74">
        <v>25703.4</v>
      </c>
      <c r="M18" s="78">
        <f t="shared" si="0"/>
        <v>128.7100650976465</v>
      </c>
      <c r="N18" s="77">
        <f t="shared" si="1"/>
        <v>122.77716742297588</v>
      </c>
      <c r="O18" s="76">
        <v>147</v>
      </c>
      <c r="P18" s="78">
        <f t="shared" si="13"/>
        <v>149.26220797547083</v>
      </c>
      <c r="Q18" s="78">
        <f t="shared" si="14"/>
        <v>2.2622079754708295</v>
      </c>
      <c r="R18" s="71">
        <f t="shared" si="9"/>
        <v>123.71469093487768</v>
      </c>
      <c r="U18" s="39">
        <v>11</v>
      </c>
      <c r="V18" s="66" t="s">
        <v>25</v>
      </c>
      <c r="W18" s="72">
        <v>14529</v>
      </c>
      <c r="X18" s="72">
        <v>16922</v>
      </c>
      <c r="Y18" s="72">
        <v>18217</v>
      </c>
      <c r="Z18" s="72">
        <v>15158</v>
      </c>
      <c r="AA18" s="72">
        <v>17220.3</v>
      </c>
      <c r="AB18" s="72">
        <v>9435</v>
      </c>
      <c r="AC18" s="72">
        <v>12178</v>
      </c>
      <c r="AD18" s="72">
        <v>13960</v>
      </c>
      <c r="AE18" s="72">
        <v>11602</v>
      </c>
      <c r="AF18" s="72">
        <v>14123.9</v>
      </c>
      <c r="AG18" s="78">
        <f t="shared" si="2"/>
        <v>121.73676952249612</v>
      </c>
      <c r="AH18" s="71">
        <f t="shared" si="3"/>
        <v>115.97881425521433</v>
      </c>
      <c r="AI18" s="76">
        <v>76</v>
      </c>
      <c r="AJ18" s="72">
        <f t="shared" si="12"/>
        <v>82.01889630261958</v>
      </c>
      <c r="AK18" s="72">
        <f t="shared" si="4"/>
        <v>6.018896302619581</v>
      </c>
      <c r="AL18" s="71">
        <f>AC18/X18*100</f>
        <v>71.96548871291809</v>
      </c>
      <c r="AM18" s="39">
        <v>11</v>
      </c>
      <c r="AN18" s="97" t="s">
        <v>25</v>
      </c>
      <c r="AO18" s="72">
        <v>14529</v>
      </c>
      <c r="AP18" s="72">
        <v>16922</v>
      </c>
      <c r="AQ18" s="72">
        <v>18217</v>
      </c>
      <c r="AR18" s="72">
        <v>15158</v>
      </c>
      <c r="AS18" s="72">
        <v>17220.3</v>
      </c>
      <c r="AT18" s="72">
        <v>5516</v>
      </c>
      <c r="AU18" s="72">
        <v>6710</v>
      </c>
      <c r="AV18" s="72">
        <v>7749</v>
      </c>
      <c r="AW18" s="72">
        <v>6323</v>
      </c>
      <c r="AX18" s="72">
        <v>7599.2</v>
      </c>
      <c r="AY18" s="78">
        <f t="shared" si="5"/>
        <v>120.18345721967421</v>
      </c>
      <c r="AZ18" s="77">
        <f t="shared" si="6"/>
        <v>113.25186289120714</v>
      </c>
      <c r="BA18" s="76">
        <v>42</v>
      </c>
      <c r="BB18" s="78">
        <f t="shared" si="7"/>
        <v>44.129312497459395</v>
      </c>
      <c r="BC18" s="78">
        <f t="shared" si="8"/>
        <v>2.129312497459395</v>
      </c>
      <c r="BD18" s="77">
        <f t="shared" si="11"/>
        <v>39.65252334239452</v>
      </c>
      <c r="CK18" s="50">
        <v>9887</v>
      </c>
      <c r="CL18" s="50">
        <v>13041</v>
      </c>
      <c r="CM18" s="50">
        <v>11938</v>
      </c>
      <c r="CN18" s="50">
        <v>14849.4</v>
      </c>
      <c r="CO18" s="50">
        <v>14233</v>
      </c>
    </row>
    <row r="19" spans="1:93" ht="18.75">
      <c r="A19" s="62">
        <v>12</v>
      </c>
      <c r="B19" s="66" t="s">
        <v>26</v>
      </c>
      <c r="C19" s="72">
        <v>16718</v>
      </c>
      <c r="D19" s="72">
        <v>19008</v>
      </c>
      <c r="E19" s="72">
        <v>21337</v>
      </c>
      <c r="F19" s="72">
        <v>19008</v>
      </c>
      <c r="G19" s="72">
        <v>19711.6</v>
      </c>
      <c r="H19" s="74">
        <v>21353</v>
      </c>
      <c r="I19" s="74">
        <v>26372</v>
      </c>
      <c r="J19" s="74">
        <v>27674</v>
      </c>
      <c r="K19" s="74">
        <v>21390</v>
      </c>
      <c r="L19" s="74">
        <v>26973</v>
      </c>
      <c r="M19" s="78">
        <f t="shared" si="0"/>
        <v>126.10098176718093</v>
      </c>
      <c r="N19" s="77">
        <f t="shared" si="1"/>
        <v>102.27893220081906</v>
      </c>
      <c r="O19" s="78">
        <v>129</v>
      </c>
      <c r="P19" s="78">
        <f t="shared" si="13"/>
        <v>136.8382069441344</v>
      </c>
      <c r="Q19" s="78">
        <f t="shared" si="14"/>
        <v>7.838206944134413</v>
      </c>
      <c r="R19" s="71">
        <f t="shared" si="9"/>
        <v>138.74158249158248</v>
      </c>
      <c r="U19" s="39">
        <v>12</v>
      </c>
      <c r="V19" s="66" t="s">
        <v>26</v>
      </c>
      <c r="W19" s="72">
        <v>16718</v>
      </c>
      <c r="X19" s="72">
        <v>19008</v>
      </c>
      <c r="Y19" s="72">
        <v>21337</v>
      </c>
      <c r="Z19" s="72">
        <v>19008</v>
      </c>
      <c r="AA19" s="72">
        <v>19711.6</v>
      </c>
      <c r="AB19" s="72">
        <v>11215</v>
      </c>
      <c r="AC19" s="72">
        <v>13228</v>
      </c>
      <c r="AD19" s="72">
        <v>16131</v>
      </c>
      <c r="AE19" s="72">
        <v>11561</v>
      </c>
      <c r="AF19" s="72">
        <v>13927</v>
      </c>
      <c r="AG19" s="78">
        <f t="shared" si="2"/>
        <v>120.4653576680218</v>
      </c>
      <c r="AH19" s="71">
        <f t="shared" si="3"/>
        <v>105.28424553976414</v>
      </c>
      <c r="AI19" s="78">
        <v>76</v>
      </c>
      <c r="AJ19" s="72">
        <f t="shared" si="12"/>
        <v>70.65382820268269</v>
      </c>
      <c r="AK19" s="72">
        <f t="shared" si="4"/>
        <v>-5.346171797317311</v>
      </c>
      <c r="AL19" s="71">
        <f t="shared" si="10"/>
        <v>69.59175084175084</v>
      </c>
      <c r="AM19" s="39">
        <v>12</v>
      </c>
      <c r="AN19" s="97" t="s">
        <v>26</v>
      </c>
      <c r="AO19" s="72">
        <v>16718</v>
      </c>
      <c r="AP19" s="72">
        <v>19008</v>
      </c>
      <c r="AQ19" s="72">
        <v>21337</v>
      </c>
      <c r="AR19" s="72">
        <v>19008</v>
      </c>
      <c r="AS19" s="72">
        <v>19711.6</v>
      </c>
      <c r="AT19" s="72">
        <v>6152</v>
      </c>
      <c r="AU19" s="72">
        <v>7502</v>
      </c>
      <c r="AV19" s="72">
        <v>10690</v>
      </c>
      <c r="AW19" s="72">
        <v>6610.28</v>
      </c>
      <c r="AX19" s="72">
        <v>7736</v>
      </c>
      <c r="AY19" s="78">
        <f t="shared" si="5"/>
        <v>117.02983837295848</v>
      </c>
      <c r="AZ19" s="77">
        <f t="shared" si="6"/>
        <v>103.11916822180751</v>
      </c>
      <c r="BA19" s="78">
        <v>50</v>
      </c>
      <c r="BB19" s="78">
        <f t="shared" si="7"/>
        <v>39.24592625662047</v>
      </c>
      <c r="BC19" s="78">
        <f t="shared" si="8"/>
        <v>-10.754073743379529</v>
      </c>
      <c r="BD19" s="77">
        <f t="shared" si="11"/>
        <v>39.467592592592595</v>
      </c>
      <c r="CK19" s="42">
        <v>12813</v>
      </c>
      <c r="CL19" s="42">
        <v>15081</v>
      </c>
      <c r="CM19" s="42">
        <v>12759</v>
      </c>
      <c r="CN19" s="42">
        <v>15464</v>
      </c>
      <c r="CO19" s="42">
        <v>15291</v>
      </c>
    </row>
    <row r="20" spans="1:93" ht="18.75">
      <c r="A20" s="62">
        <v>13</v>
      </c>
      <c r="B20" s="66" t="s">
        <v>27</v>
      </c>
      <c r="C20" s="72">
        <v>16189</v>
      </c>
      <c r="D20" s="72">
        <v>18167</v>
      </c>
      <c r="E20" s="72">
        <v>20329</v>
      </c>
      <c r="F20" s="72">
        <v>16697</v>
      </c>
      <c r="G20" s="72">
        <v>17800</v>
      </c>
      <c r="H20" s="74">
        <v>17405</v>
      </c>
      <c r="I20" s="74">
        <v>21062</v>
      </c>
      <c r="J20" s="74">
        <v>26367</v>
      </c>
      <c r="K20" s="74">
        <v>19662</v>
      </c>
      <c r="L20" s="74">
        <v>22092</v>
      </c>
      <c r="M20" s="78">
        <f t="shared" si="0"/>
        <v>112.35886481537992</v>
      </c>
      <c r="N20" s="77">
        <f t="shared" si="1"/>
        <v>104.89032380590638</v>
      </c>
      <c r="O20" s="78">
        <v>129</v>
      </c>
      <c r="P20" s="78">
        <f t="shared" si="13"/>
        <v>124.11235955056179</v>
      </c>
      <c r="Q20" s="78">
        <f t="shared" si="14"/>
        <v>-4.887640449438209</v>
      </c>
      <c r="R20" s="71">
        <f t="shared" si="9"/>
        <v>115.93548742224912</v>
      </c>
      <c r="U20" s="39">
        <v>13</v>
      </c>
      <c r="V20" s="66" t="s">
        <v>27</v>
      </c>
      <c r="W20" s="72">
        <v>16189</v>
      </c>
      <c r="X20" s="72">
        <v>18167</v>
      </c>
      <c r="Y20" s="72">
        <v>20329</v>
      </c>
      <c r="Z20" s="72">
        <v>16697</v>
      </c>
      <c r="AA20" s="72">
        <v>17800</v>
      </c>
      <c r="AB20" s="72">
        <v>10239.6</v>
      </c>
      <c r="AC20" s="72">
        <v>12236</v>
      </c>
      <c r="AD20" s="72">
        <v>15369</v>
      </c>
      <c r="AE20" s="72">
        <v>11946</v>
      </c>
      <c r="AF20" s="72">
        <v>13516</v>
      </c>
      <c r="AG20" s="78">
        <f t="shared" si="2"/>
        <v>113.14247446844132</v>
      </c>
      <c r="AH20" s="71">
        <f t="shared" si="3"/>
        <v>110.4609349460608</v>
      </c>
      <c r="AI20" s="78">
        <v>75</v>
      </c>
      <c r="AJ20" s="72">
        <f t="shared" si="12"/>
        <v>75.93258426966291</v>
      </c>
      <c r="AK20" s="72">
        <f t="shared" si="4"/>
        <v>0.932584269662911</v>
      </c>
      <c r="AL20" s="71">
        <f t="shared" si="10"/>
        <v>67.35289260747508</v>
      </c>
      <c r="AM20" s="39">
        <v>13</v>
      </c>
      <c r="AN20" s="97" t="s">
        <v>27</v>
      </c>
      <c r="AO20" s="72">
        <v>16189</v>
      </c>
      <c r="AP20" s="72">
        <v>18167</v>
      </c>
      <c r="AQ20" s="72">
        <v>20329</v>
      </c>
      <c r="AR20" s="72">
        <v>16697</v>
      </c>
      <c r="AS20" s="72">
        <v>17800</v>
      </c>
      <c r="AT20" s="72">
        <v>6414</v>
      </c>
      <c r="AU20" s="72">
        <v>6838</v>
      </c>
      <c r="AV20" s="72">
        <v>10185</v>
      </c>
      <c r="AW20" s="72">
        <v>6499</v>
      </c>
      <c r="AX20" s="72">
        <v>7206</v>
      </c>
      <c r="AY20" s="78">
        <f t="shared" si="5"/>
        <v>110.87859670718572</v>
      </c>
      <c r="AZ20" s="77">
        <f t="shared" si="6"/>
        <v>105.3816905527932</v>
      </c>
      <c r="BA20" s="77">
        <v>50</v>
      </c>
      <c r="BB20" s="78">
        <f t="shared" si="7"/>
        <v>40.48314606741573</v>
      </c>
      <c r="BC20" s="78">
        <f t="shared" si="8"/>
        <v>-9.516853932584269</v>
      </c>
      <c r="BD20" s="77">
        <f t="shared" si="11"/>
        <v>37.63967633621401</v>
      </c>
      <c r="CK20" s="42">
        <v>12018</v>
      </c>
      <c r="CL20" s="42">
        <v>13207</v>
      </c>
      <c r="CM20" s="41"/>
      <c r="CN20" s="42">
        <v>14356</v>
      </c>
      <c r="CO20" s="42">
        <v>15002</v>
      </c>
    </row>
    <row r="21" spans="1:93" ht="18.75">
      <c r="A21" s="62">
        <v>14</v>
      </c>
      <c r="B21" s="66" t="s">
        <v>28</v>
      </c>
      <c r="C21" s="119">
        <v>14292.9</v>
      </c>
      <c r="D21" s="119">
        <v>16861.5</v>
      </c>
      <c r="E21" s="119">
        <v>19000</v>
      </c>
      <c r="F21" s="72">
        <v>16800</v>
      </c>
      <c r="G21" s="120">
        <v>16987.6</v>
      </c>
      <c r="H21" s="74">
        <v>23081</v>
      </c>
      <c r="I21" s="74">
        <v>26039</v>
      </c>
      <c r="J21" s="74">
        <v>30146</v>
      </c>
      <c r="K21" s="74">
        <v>23731</v>
      </c>
      <c r="L21" s="74">
        <v>27795</v>
      </c>
      <c r="M21" s="78">
        <f t="shared" si="0"/>
        <v>117.12527917070499</v>
      </c>
      <c r="N21" s="77">
        <f t="shared" si="1"/>
        <v>106.74373055800915</v>
      </c>
      <c r="O21" s="77">
        <v>156</v>
      </c>
      <c r="P21" s="78">
        <f t="shared" si="13"/>
        <v>163.61934587581533</v>
      </c>
      <c r="Q21" s="78">
        <f t="shared" si="14"/>
        <v>7.619345875815327</v>
      </c>
      <c r="R21" s="71">
        <f t="shared" si="9"/>
        <v>154.42872816771936</v>
      </c>
      <c r="U21" s="39">
        <v>14</v>
      </c>
      <c r="V21" s="66" t="s">
        <v>28</v>
      </c>
      <c r="W21" s="119">
        <v>14292.9</v>
      </c>
      <c r="X21" s="119">
        <v>16861.5</v>
      </c>
      <c r="Y21" s="119">
        <v>19000</v>
      </c>
      <c r="Z21" s="72">
        <v>16800</v>
      </c>
      <c r="AA21" s="120">
        <v>16987.6</v>
      </c>
      <c r="AB21" s="72">
        <v>10181</v>
      </c>
      <c r="AC21" s="72">
        <v>12286</v>
      </c>
      <c r="AD21" s="72">
        <v>13816</v>
      </c>
      <c r="AE21" s="72">
        <v>10977</v>
      </c>
      <c r="AF21" s="72">
        <v>13259</v>
      </c>
      <c r="AG21" s="78">
        <f t="shared" si="2"/>
        <v>120.78892229206524</v>
      </c>
      <c r="AH21" s="71">
        <f t="shared" si="3"/>
        <v>107.91958326550545</v>
      </c>
      <c r="AI21" s="77">
        <v>72</v>
      </c>
      <c r="AJ21" s="72">
        <f t="shared" si="12"/>
        <v>78.05104900044739</v>
      </c>
      <c r="AK21" s="72">
        <f>AJ21-AI21</f>
        <v>6.051049000447392</v>
      </c>
      <c r="AL21" s="71">
        <f t="shared" si="10"/>
        <v>72.86421729976574</v>
      </c>
      <c r="AM21" s="39">
        <v>14</v>
      </c>
      <c r="AN21" s="97" t="s">
        <v>28</v>
      </c>
      <c r="AO21" s="119">
        <v>14292.9</v>
      </c>
      <c r="AP21" s="119">
        <v>16861.5</v>
      </c>
      <c r="AQ21" s="119">
        <v>19000</v>
      </c>
      <c r="AR21" s="72">
        <v>16800</v>
      </c>
      <c r="AS21" s="120">
        <v>16987.6</v>
      </c>
      <c r="AT21" s="72">
        <v>5797</v>
      </c>
      <c r="AU21" s="72">
        <v>6896</v>
      </c>
      <c r="AV21" s="72">
        <v>7534</v>
      </c>
      <c r="AW21" s="72">
        <v>6160</v>
      </c>
      <c r="AX21" s="72">
        <v>7839</v>
      </c>
      <c r="AY21" s="78">
        <f t="shared" si="5"/>
        <v>127.25649350649351</v>
      </c>
      <c r="AZ21" s="77">
        <f t="shared" si="6"/>
        <v>113.6745939675174</v>
      </c>
      <c r="BA21" s="77">
        <v>39</v>
      </c>
      <c r="BB21" s="78">
        <f t="shared" si="7"/>
        <v>46.145423720831666</v>
      </c>
      <c r="BC21" s="78">
        <f>BB21-BA21</f>
        <v>7.1454237208316655</v>
      </c>
      <c r="BD21" s="77">
        <f t="shared" si="11"/>
        <v>40.89790350799158</v>
      </c>
      <c r="CK21" s="117">
        <v>10926</v>
      </c>
      <c r="CL21" s="117">
        <v>13256</v>
      </c>
      <c r="CM21" s="31">
        <v>11788</v>
      </c>
      <c r="CN21" s="117">
        <v>14484</v>
      </c>
      <c r="CO21" s="117">
        <v>14745</v>
      </c>
    </row>
    <row r="22" spans="1:93" ht="18.75">
      <c r="A22" s="62">
        <v>15</v>
      </c>
      <c r="B22" s="66" t="s">
        <v>29</v>
      </c>
      <c r="C22" s="75">
        <v>17746.2</v>
      </c>
      <c r="D22" s="75">
        <v>20615</v>
      </c>
      <c r="E22" s="79">
        <v>23500</v>
      </c>
      <c r="F22" s="75">
        <v>18439</v>
      </c>
      <c r="G22" s="79">
        <v>19710</v>
      </c>
      <c r="H22" s="79">
        <v>19252.8</v>
      </c>
      <c r="I22" s="79">
        <v>27374.50674738678</v>
      </c>
      <c r="J22" s="79">
        <v>30480</v>
      </c>
      <c r="K22" s="71">
        <v>24990</v>
      </c>
      <c r="L22" s="79">
        <v>26573.8490219154</v>
      </c>
      <c r="M22" s="78">
        <f>L22/K22*100</f>
        <v>106.33793126016566</v>
      </c>
      <c r="N22" s="77">
        <f>L22/I22*100</f>
        <v>97.0751702200157</v>
      </c>
      <c r="O22" s="77">
        <v>129</v>
      </c>
      <c r="P22" s="78">
        <f>L22/G22*100</f>
        <v>134.82419595086455</v>
      </c>
      <c r="Q22" s="78">
        <f>P22-O22</f>
        <v>5.824195950864549</v>
      </c>
      <c r="R22" s="71">
        <f t="shared" si="9"/>
        <v>132.78926387284395</v>
      </c>
      <c r="U22" s="39">
        <v>15</v>
      </c>
      <c r="V22" s="66" t="s">
        <v>29</v>
      </c>
      <c r="W22" s="75">
        <v>17746.2</v>
      </c>
      <c r="X22" s="75">
        <v>20615</v>
      </c>
      <c r="Y22" s="79">
        <v>23500</v>
      </c>
      <c r="Z22" s="75">
        <v>18439</v>
      </c>
      <c r="AA22" s="79">
        <v>19710</v>
      </c>
      <c r="AB22" s="79">
        <v>12129.3</v>
      </c>
      <c r="AC22" s="79">
        <v>16014</v>
      </c>
      <c r="AD22" s="79">
        <v>17766</v>
      </c>
      <c r="AE22" s="71">
        <v>14786</v>
      </c>
      <c r="AF22" s="79">
        <f>15.5179018635431*1000</f>
        <v>15517.9018635431</v>
      </c>
      <c r="AG22" s="78">
        <f>AF22/AE22*100</f>
        <v>104.94996526134925</v>
      </c>
      <c r="AH22" s="71">
        <f>AF22/AC22*100</f>
        <v>96.90209731199639</v>
      </c>
      <c r="AI22" s="77">
        <v>75</v>
      </c>
      <c r="AJ22" s="72">
        <f t="shared" si="12"/>
        <v>78.73111041878794</v>
      </c>
      <c r="AK22" s="72">
        <f t="shared" si="4"/>
        <v>3.731110418787935</v>
      </c>
      <c r="AL22" s="71">
        <f t="shared" si="10"/>
        <v>77.68130002425418</v>
      </c>
      <c r="AM22" s="39">
        <v>15</v>
      </c>
      <c r="AN22" s="97" t="s">
        <v>29</v>
      </c>
      <c r="AO22" s="75">
        <v>17746.2</v>
      </c>
      <c r="AP22" s="75">
        <v>20615</v>
      </c>
      <c r="AQ22" s="79">
        <v>23500</v>
      </c>
      <c r="AR22" s="75">
        <v>18439</v>
      </c>
      <c r="AS22" s="79">
        <v>19710</v>
      </c>
      <c r="AT22" s="79">
        <v>6509.5</v>
      </c>
      <c r="AU22" s="79">
        <v>7895.5</v>
      </c>
      <c r="AV22" s="79">
        <v>11774</v>
      </c>
      <c r="AW22" s="71">
        <v>7763</v>
      </c>
      <c r="AX22" s="79">
        <v>8035</v>
      </c>
      <c r="AY22" s="78">
        <f t="shared" si="5"/>
        <v>103.5038000772897</v>
      </c>
      <c r="AZ22" s="71">
        <f t="shared" si="6"/>
        <v>101.76682920651004</v>
      </c>
      <c r="BA22" s="77">
        <v>50</v>
      </c>
      <c r="BB22" s="72">
        <f t="shared" si="7"/>
        <v>40.76610857432775</v>
      </c>
      <c r="BC22" s="72">
        <f t="shared" si="8"/>
        <v>-9.233891425672248</v>
      </c>
      <c r="BD22" s="71">
        <f t="shared" si="11"/>
        <v>38.29978171234538</v>
      </c>
      <c r="CK22" s="44">
        <v>14462.1</v>
      </c>
      <c r="CL22" s="44">
        <v>16434</v>
      </c>
      <c r="CM22" s="41">
        <v>15323</v>
      </c>
      <c r="CN22" s="44">
        <v>16052</v>
      </c>
      <c r="CO22" s="44">
        <f>CN22*1.375</f>
        <v>22071.5</v>
      </c>
    </row>
    <row r="23" spans="1:93" ht="18.75">
      <c r="A23" s="62">
        <v>16</v>
      </c>
      <c r="B23" s="66" t="s">
        <v>30</v>
      </c>
      <c r="C23" s="71">
        <v>17300</v>
      </c>
      <c r="D23" s="71">
        <v>20072</v>
      </c>
      <c r="E23" s="71">
        <v>21878</v>
      </c>
      <c r="F23" s="71">
        <v>20072</v>
      </c>
      <c r="G23" s="71">
        <v>20877</v>
      </c>
      <c r="H23" s="71">
        <v>25117</v>
      </c>
      <c r="I23" s="71">
        <v>32900</v>
      </c>
      <c r="J23" s="71">
        <v>29474</v>
      </c>
      <c r="K23" s="71">
        <v>21040</v>
      </c>
      <c r="L23" s="71">
        <v>28900</v>
      </c>
      <c r="M23" s="78">
        <f>L23/K23*100</f>
        <v>137.3574144486692</v>
      </c>
      <c r="N23" s="77">
        <f>L23/I23*100</f>
        <v>87.84194528875379</v>
      </c>
      <c r="O23" s="77">
        <v>134</v>
      </c>
      <c r="P23" s="78">
        <f>L23/G23*100</f>
        <v>138.42985103223643</v>
      </c>
      <c r="Q23" s="78">
        <f>P23-O23</f>
        <v>4.429851032236428</v>
      </c>
      <c r="R23" s="71">
        <f t="shared" si="9"/>
        <v>163.90992427261858</v>
      </c>
      <c r="U23" s="39">
        <v>16</v>
      </c>
      <c r="V23" s="66" t="s">
        <v>30</v>
      </c>
      <c r="W23" s="71">
        <v>17300</v>
      </c>
      <c r="X23" s="71">
        <v>20072</v>
      </c>
      <c r="Y23" s="71">
        <v>21878</v>
      </c>
      <c r="Z23" s="71">
        <v>20072</v>
      </c>
      <c r="AA23" s="71">
        <v>20877</v>
      </c>
      <c r="AB23" s="71">
        <v>13498</v>
      </c>
      <c r="AC23" s="71">
        <v>16400</v>
      </c>
      <c r="AD23" s="71">
        <v>16539</v>
      </c>
      <c r="AE23" s="71">
        <v>15470</v>
      </c>
      <c r="AF23" s="71">
        <v>15900</v>
      </c>
      <c r="AG23" s="78">
        <f>AF23/AE23*100</f>
        <v>102.77957336780865</v>
      </c>
      <c r="AH23" s="71">
        <f>AF23/AC23*100</f>
        <v>96.95121951219512</v>
      </c>
      <c r="AI23" s="77">
        <v>70</v>
      </c>
      <c r="AJ23" s="72">
        <f t="shared" si="12"/>
        <v>76.1603678689467</v>
      </c>
      <c r="AK23" s="72">
        <f t="shared" si="4"/>
        <v>6.160367868946693</v>
      </c>
      <c r="AL23" s="71">
        <f t="shared" si="10"/>
        <v>81.70585890793146</v>
      </c>
      <c r="AM23" s="39">
        <v>16</v>
      </c>
      <c r="AN23" s="97" t="s">
        <v>30</v>
      </c>
      <c r="AO23" s="71">
        <v>17300</v>
      </c>
      <c r="AP23" s="71">
        <v>20072</v>
      </c>
      <c r="AQ23" s="71">
        <v>21878</v>
      </c>
      <c r="AR23" s="71">
        <v>20072</v>
      </c>
      <c r="AS23" s="71">
        <v>20877</v>
      </c>
      <c r="AT23" s="71">
        <v>7792</v>
      </c>
      <c r="AU23" s="71">
        <v>9100</v>
      </c>
      <c r="AV23" s="71">
        <v>10961</v>
      </c>
      <c r="AW23" s="71">
        <v>8584</v>
      </c>
      <c r="AX23" s="71">
        <v>9700</v>
      </c>
      <c r="AY23" s="78">
        <f t="shared" si="5"/>
        <v>113.0009319664492</v>
      </c>
      <c r="AZ23" s="71">
        <f t="shared" si="6"/>
        <v>106.5934065934066</v>
      </c>
      <c r="BA23" s="77">
        <v>43</v>
      </c>
      <c r="BB23" s="72">
        <f t="shared" si="7"/>
        <v>46.462614360300805</v>
      </c>
      <c r="BC23" s="72">
        <f t="shared" si="8"/>
        <v>3.4626143603008046</v>
      </c>
      <c r="BD23" s="71">
        <f t="shared" si="11"/>
        <v>45.33678756476684</v>
      </c>
      <c r="CK23" s="41">
        <v>14333</v>
      </c>
      <c r="CL23" s="41">
        <v>17300</v>
      </c>
      <c r="CM23" s="41">
        <v>16320</v>
      </c>
      <c r="CN23" s="41">
        <v>17000</v>
      </c>
      <c r="CO23" s="41">
        <v>17600</v>
      </c>
    </row>
    <row r="24" spans="1:93" s="69" customFormat="1" ht="18.75">
      <c r="A24" s="130">
        <v>17</v>
      </c>
      <c r="B24" s="131" t="s">
        <v>31</v>
      </c>
      <c r="C24" s="78">
        <v>18111</v>
      </c>
      <c r="D24" s="78">
        <v>20248</v>
      </c>
      <c r="E24" s="78">
        <v>22232</v>
      </c>
      <c r="F24" s="77"/>
      <c r="G24" s="78">
        <v>20678</v>
      </c>
      <c r="H24" s="76">
        <v>21293</v>
      </c>
      <c r="I24" s="76">
        <v>24676</v>
      </c>
      <c r="J24" s="76">
        <v>28835</v>
      </c>
      <c r="K24" s="76">
        <v>21938</v>
      </c>
      <c r="L24" s="76">
        <v>24823</v>
      </c>
      <c r="M24" s="78">
        <f>L24/K24*100</f>
        <v>113.15069742000183</v>
      </c>
      <c r="N24" s="77">
        <f>L24/I24*100</f>
        <v>100.59572053817473</v>
      </c>
      <c r="O24" s="78">
        <v>129</v>
      </c>
      <c r="P24" s="78">
        <f>L24/G24*100</f>
        <v>120.04545894187059</v>
      </c>
      <c r="Q24" s="78">
        <f>P24-O24</f>
        <v>-8.954541058129408</v>
      </c>
      <c r="R24" s="77">
        <f t="shared" si="9"/>
        <v>121.86882655077045</v>
      </c>
      <c r="S24" s="134"/>
      <c r="U24" s="135">
        <v>17</v>
      </c>
      <c r="V24" s="131" t="s">
        <v>31</v>
      </c>
      <c r="W24" s="78">
        <v>18111</v>
      </c>
      <c r="X24" s="78">
        <v>20248</v>
      </c>
      <c r="Y24" s="78">
        <v>22232</v>
      </c>
      <c r="Z24" s="77"/>
      <c r="AA24" s="78">
        <v>20678</v>
      </c>
      <c r="AB24" s="76">
        <v>12238</v>
      </c>
      <c r="AC24" s="76">
        <v>14278</v>
      </c>
      <c r="AD24" s="76">
        <v>16807</v>
      </c>
      <c r="AE24" s="76">
        <v>13246</v>
      </c>
      <c r="AF24" s="76">
        <v>16067</v>
      </c>
      <c r="AG24" s="78">
        <f>AF24/AE24*100</f>
        <v>121.29699531934168</v>
      </c>
      <c r="AH24" s="77">
        <f>AF24/AC24*100</f>
        <v>112.5297660736798</v>
      </c>
      <c r="AI24" s="78">
        <v>75</v>
      </c>
      <c r="AJ24" s="78">
        <f t="shared" si="12"/>
        <v>77.70093819518328</v>
      </c>
      <c r="AK24" s="78">
        <f t="shared" si="4"/>
        <v>2.7009381951832836</v>
      </c>
      <c r="AL24" s="77">
        <f t="shared" si="10"/>
        <v>70.51560647965232</v>
      </c>
      <c r="AM24" s="135">
        <v>17</v>
      </c>
      <c r="AN24" s="136" t="s">
        <v>31</v>
      </c>
      <c r="AO24" s="78">
        <v>18111</v>
      </c>
      <c r="AP24" s="78">
        <v>20248</v>
      </c>
      <c r="AQ24" s="78">
        <v>22232</v>
      </c>
      <c r="AR24" s="77"/>
      <c r="AS24" s="78">
        <v>20678</v>
      </c>
      <c r="AT24" s="76">
        <v>6342</v>
      </c>
      <c r="AU24" s="76">
        <v>7017</v>
      </c>
      <c r="AV24" s="76">
        <v>11138</v>
      </c>
      <c r="AW24" s="76">
        <v>6721</v>
      </c>
      <c r="AX24" s="76">
        <v>8263</v>
      </c>
      <c r="AY24" s="78">
        <f t="shared" si="5"/>
        <v>122.94301443237615</v>
      </c>
      <c r="AZ24" s="77">
        <f t="shared" si="6"/>
        <v>117.75687615790224</v>
      </c>
      <c r="BA24" s="77">
        <v>50</v>
      </c>
      <c r="BB24" s="78">
        <f t="shared" si="7"/>
        <v>39.960344327304384</v>
      </c>
      <c r="BC24" s="78">
        <f t="shared" si="8"/>
        <v>-10.039655672695616</v>
      </c>
      <c r="BD24" s="77">
        <f t="shared" si="11"/>
        <v>34.65527459502173</v>
      </c>
      <c r="BE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K24" s="142">
        <v>12848</v>
      </c>
      <c r="CL24" s="142">
        <v>14797</v>
      </c>
      <c r="CM24" s="142">
        <v>13629</v>
      </c>
      <c r="CN24" s="142">
        <v>16349</v>
      </c>
      <c r="CO24" s="142">
        <v>17724</v>
      </c>
    </row>
    <row r="25" spans="1:93" ht="18.75">
      <c r="A25" s="62">
        <v>18</v>
      </c>
      <c r="B25" s="66" t="s">
        <v>32</v>
      </c>
      <c r="C25" s="121">
        <v>44899</v>
      </c>
      <c r="D25" s="121">
        <v>49900</v>
      </c>
      <c r="E25" s="121">
        <v>49900</v>
      </c>
      <c r="F25" s="91">
        <v>43200</v>
      </c>
      <c r="G25" s="71">
        <v>45843</v>
      </c>
      <c r="H25" s="121">
        <v>60300</v>
      </c>
      <c r="I25" s="121">
        <v>67660</v>
      </c>
      <c r="J25" s="121">
        <v>72399</v>
      </c>
      <c r="K25" s="121">
        <v>57070</v>
      </c>
      <c r="L25" s="121">
        <v>59197</v>
      </c>
      <c r="M25" s="78">
        <f>L25/K25*100</f>
        <v>103.72700192745752</v>
      </c>
      <c r="N25" s="77">
        <f>L25/I25*100</f>
        <v>87.49187112030742</v>
      </c>
      <c r="O25" s="77">
        <v>129</v>
      </c>
      <c r="P25" s="78">
        <f>L25/G25*100</f>
        <v>129.12985624850032</v>
      </c>
      <c r="Q25" s="78">
        <f>P25-O25</f>
        <v>0.1298562485003174</v>
      </c>
      <c r="R25" s="71">
        <f t="shared" si="9"/>
        <v>135.59118236472946</v>
      </c>
      <c r="U25" s="39">
        <v>18</v>
      </c>
      <c r="V25" s="66" t="s">
        <v>32</v>
      </c>
      <c r="W25" s="121">
        <v>44899</v>
      </c>
      <c r="X25" s="121">
        <v>49900</v>
      </c>
      <c r="Y25" s="121">
        <v>49900</v>
      </c>
      <c r="Z25" s="91">
        <v>43200</v>
      </c>
      <c r="AA25" s="71">
        <v>45843</v>
      </c>
      <c r="AB25" s="121">
        <v>45200</v>
      </c>
      <c r="AC25" s="121">
        <v>49350</v>
      </c>
      <c r="AD25" s="121">
        <v>49700</v>
      </c>
      <c r="AE25" s="121">
        <v>42600</v>
      </c>
      <c r="AF25" s="121">
        <v>43462</v>
      </c>
      <c r="AG25" s="78">
        <f>AF25/AE25*100</f>
        <v>102.02347417840376</v>
      </c>
      <c r="AH25" s="71">
        <f>AF25/AC25*100</f>
        <v>88.06889564336373</v>
      </c>
      <c r="AI25" s="77">
        <v>89</v>
      </c>
      <c r="AJ25" s="72">
        <f t="shared" si="12"/>
        <v>94.80618633161006</v>
      </c>
      <c r="AK25" s="72">
        <f t="shared" si="4"/>
        <v>5.806186331610064</v>
      </c>
      <c r="AL25" s="71">
        <f t="shared" si="10"/>
        <v>98.89779559118237</v>
      </c>
      <c r="AM25" s="39">
        <v>18</v>
      </c>
      <c r="AN25" s="97" t="s">
        <v>32</v>
      </c>
      <c r="AO25" s="121">
        <v>44899</v>
      </c>
      <c r="AP25" s="121">
        <v>49900</v>
      </c>
      <c r="AQ25" s="121">
        <v>49900</v>
      </c>
      <c r="AR25" s="91">
        <v>43200</v>
      </c>
      <c r="AS25" s="71">
        <v>45843</v>
      </c>
      <c r="AT25" s="121">
        <v>25600</v>
      </c>
      <c r="AU25" s="121">
        <v>26500</v>
      </c>
      <c r="AV25" s="121">
        <v>27966</v>
      </c>
      <c r="AW25" s="121">
        <v>23500</v>
      </c>
      <c r="AX25" s="121">
        <v>25144</v>
      </c>
      <c r="AY25" s="78">
        <f t="shared" si="5"/>
        <v>106.99574468085106</v>
      </c>
      <c r="AZ25" s="71">
        <f t="shared" si="6"/>
        <v>94.88301886792453</v>
      </c>
      <c r="BA25" s="77">
        <v>50</v>
      </c>
      <c r="BB25" s="72">
        <f t="shared" si="7"/>
        <v>54.848068407390436</v>
      </c>
      <c r="BC25" s="72">
        <f t="shared" si="8"/>
        <v>4.848068407390436</v>
      </c>
      <c r="BD25" s="71">
        <f t="shared" si="11"/>
        <v>53.106212424849694</v>
      </c>
      <c r="CK25" s="41"/>
      <c r="CL25" s="41"/>
      <c r="CM25" s="41"/>
      <c r="CN25" s="41"/>
      <c r="CO25" s="41"/>
    </row>
    <row r="26" spans="1:93" ht="24.75" customHeight="1">
      <c r="A26" s="62"/>
      <c r="B26" s="67" t="s">
        <v>101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8"/>
      <c r="N26" s="77"/>
      <c r="O26" s="77"/>
      <c r="P26" s="77"/>
      <c r="Q26" s="77"/>
      <c r="R26" s="71"/>
      <c r="U26" s="39"/>
      <c r="V26" s="67" t="s">
        <v>101</v>
      </c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8"/>
      <c r="AH26" s="71"/>
      <c r="AI26" s="77"/>
      <c r="AJ26" s="77"/>
      <c r="AK26" s="77"/>
      <c r="AL26" s="71"/>
      <c r="AM26" s="39"/>
      <c r="AN26" s="98" t="s">
        <v>101</v>
      </c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8"/>
      <c r="AZ26" s="71"/>
      <c r="BA26" s="77"/>
      <c r="BB26" s="77"/>
      <c r="BC26" s="77"/>
      <c r="BD26" s="71"/>
      <c r="CK26" s="41"/>
      <c r="CL26" s="41"/>
      <c r="CM26" s="41"/>
      <c r="CN26" s="41"/>
      <c r="CO26" s="41"/>
    </row>
    <row r="27" spans="1:93" ht="18.75">
      <c r="A27" s="62">
        <v>19</v>
      </c>
      <c r="B27" s="66" t="s">
        <v>35</v>
      </c>
      <c r="C27" s="72">
        <v>22174</v>
      </c>
      <c r="D27" s="72">
        <v>25500</v>
      </c>
      <c r="E27" s="72">
        <v>28300</v>
      </c>
      <c r="F27" s="72">
        <v>23236.7</v>
      </c>
      <c r="G27" s="72">
        <v>25288.6</v>
      </c>
      <c r="H27" s="72">
        <v>32702</v>
      </c>
      <c r="I27" s="72">
        <v>38420</v>
      </c>
      <c r="J27" s="73">
        <v>44968.11</v>
      </c>
      <c r="K27" s="72">
        <v>32633</v>
      </c>
      <c r="L27" s="72">
        <v>38988</v>
      </c>
      <c r="M27" s="78">
        <f aca="true" t="shared" si="15" ref="M27:M40">L27/K27*100</f>
        <v>119.47415193209328</v>
      </c>
      <c r="N27" s="77">
        <f aca="true" t="shared" si="16" ref="N27:N37">L27/I27*100</f>
        <v>101.47839666840188</v>
      </c>
      <c r="O27" s="78">
        <v>158</v>
      </c>
      <c r="P27" s="78">
        <f>L27/G27*100</f>
        <v>154.17223571095278</v>
      </c>
      <c r="Q27" s="78">
        <f>P27-O27</f>
        <v>-3.8277642890472237</v>
      </c>
      <c r="R27" s="71">
        <f t="shared" si="9"/>
        <v>150.66666666666666</v>
      </c>
      <c r="U27" s="39">
        <v>19</v>
      </c>
      <c r="V27" s="66" t="s">
        <v>35</v>
      </c>
      <c r="W27" s="72">
        <v>22174</v>
      </c>
      <c r="X27" s="72">
        <v>25500</v>
      </c>
      <c r="Y27" s="72">
        <v>28300</v>
      </c>
      <c r="Z27" s="72">
        <v>23236.7</v>
      </c>
      <c r="AA27" s="72">
        <v>25288.6</v>
      </c>
      <c r="AB27" s="72">
        <v>17869</v>
      </c>
      <c r="AC27" s="72">
        <v>20943</v>
      </c>
      <c r="AD27" s="73">
        <v>23902.4</v>
      </c>
      <c r="AE27" s="72">
        <v>18260</v>
      </c>
      <c r="AF27" s="72">
        <v>21374</v>
      </c>
      <c r="AG27" s="78">
        <f aca="true" t="shared" si="17" ref="AG27:AG37">AF27/AE27*100</f>
        <v>117.05366922234393</v>
      </c>
      <c r="AH27" s="71">
        <f aca="true" t="shared" si="18" ref="AH27:AH37">AF27/AC27*100</f>
        <v>102.05796686243613</v>
      </c>
      <c r="AI27" s="78">
        <v>84</v>
      </c>
      <c r="AJ27" s="72">
        <f aca="true" t="shared" si="19" ref="AJ27:AJ37">AF27/AA27*100</f>
        <v>84.5202976835412</v>
      </c>
      <c r="AK27" s="72">
        <f aca="true" t="shared" si="20" ref="AK27:AK37">AJ27-AI27</f>
        <v>0.5202976835412016</v>
      </c>
      <c r="AL27" s="71">
        <f t="shared" si="10"/>
        <v>82.12941176470588</v>
      </c>
      <c r="AM27" s="39">
        <v>19</v>
      </c>
      <c r="AN27" s="97" t="s">
        <v>35</v>
      </c>
      <c r="AO27" s="72">
        <v>22174</v>
      </c>
      <c r="AP27" s="72">
        <v>25500</v>
      </c>
      <c r="AQ27" s="72">
        <v>28300</v>
      </c>
      <c r="AR27" s="72">
        <v>23236.7</v>
      </c>
      <c r="AS27" s="72">
        <v>25288.6</v>
      </c>
      <c r="AT27" s="72">
        <v>8827</v>
      </c>
      <c r="AU27" s="72">
        <v>10417</v>
      </c>
      <c r="AV27" s="73">
        <v>13732.52</v>
      </c>
      <c r="AW27" s="72">
        <v>9598</v>
      </c>
      <c r="AX27" s="72">
        <v>10799</v>
      </c>
      <c r="AY27" s="78">
        <f aca="true" t="shared" si="21" ref="AY27:AY37">AX27/AW27*100</f>
        <v>112.5130235465722</v>
      </c>
      <c r="AZ27" s="71">
        <f aca="true" t="shared" si="22" ref="AZ27:AZ37">AX27/AU27*100</f>
        <v>103.6670826533551</v>
      </c>
      <c r="BA27" s="78">
        <v>48</v>
      </c>
      <c r="BB27" s="72">
        <f aca="true" t="shared" si="23" ref="BB27:BB37">AX27/AS27*100</f>
        <v>42.703036150676596</v>
      </c>
      <c r="BC27" s="72">
        <f aca="true" t="shared" si="24" ref="BC27:BC37">BB27-BA27</f>
        <v>-5.296963849323404</v>
      </c>
      <c r="BD27" s="71">
        <f t="shared" si="11"/>
        <v>40.85098039215686</v>
      </c>
      <c r="CK27" s="41">
        <v>17639</v>
      </c>
      <c r="CL27" s="41">
        <v>20645</v>
      </c>
      <c r="CM27" s="51">
        <v>18214</v>
      </c>
      <c r="CN27" s="41">
        <v>21198</v>
      </c>
      <c r="CO27" s="41">
        <v>24247</v>
      </c>
    </row>
    <row r="28" spans="1:93" ht="18.75">
      <c r="A28" s="62">
        <v>20</v>
      </c>
      <c r="B28" s="66" t="s">
        <v>36</v>
      </c>
      <c r="C28" s="72">
        <v>28897</v>
      </c>
      <c r="D28" s="72">
        <v>33465</v>
      </c>
      <c r="E28" s="72">
        <v>36275</v>
      </c>
      <c r="F28" s="72">
        <v>30832</v>
      </c>
      <c r="G28" s="72">
        <v>34350</v>
      </c>
      <c r="H28" s="72">
        <v>37981</v>
      </c>
      <c r="I28" s="72">
        <v>44574.13816642861</v>
      </c>
      <c r="J28" s="72">
        <v>47049</v>
      </c>
      <c r="K28" s="72">
        <v>37378</v>
      </c>
      <c r="L28" s="72">
        <v>47088.32918649108</v>
      </c>
      <c r="M28" s="78">
        <f t="shared" si="15"/>
        <v>125.9787286277786</v>
      </c>
      <c r="N28" s="77">
        <f t="shared" si="16"/>
        <v>105.64047028946497</v>
      </c>
      <c r="O28" s="78">
        <v>129</v>
      </c>
      <c r="P28" s="78">
        <f>L28/G28*100</f>
        <v>137.08392776271057</v>
      </c>
      <c r="Q28" s="78">
        <f>P28-O28</f>
        <v>8.083927762710573</v>
      </c>
      <c r="R28" s="71">
        <f t="shared" si="9"/>
        <v>133.19628915711525</v>
      </c>
      <c r="U28" s="39">
        <v>20</v>
      </c>
      <c r="V28" s="66" t="s">
        <v>36</v>
      </c>
      <c r="W28" s="72">
        <v>28897</v>
      </c>
      <c r="X28" s="72">
        <v>33465</v>
      </c>
      <c r="Y28" s="72">
        <v>36275</v>
      </c>
      <c r="Z28" s="72">
        <v>30832</v>
      </c>
      <c r="AA28" s="72">
        <v>34350</v>
      </c>
      <c r="AB28" s="72">
        <v>20996</v>
      </c>
      <c r="AC28" s="72">
        <v>23748.366668060982</v>
      </c>
      <c r="AD28" s="72">
        <v>27424</v>
      </c>
      <c r="AE28" s="72">
        <v>22034</v>
      </c>
      <c r="AF28" s="72">
        <v>26180.457613305432</v>
      </c>
      <c r="AG28" s="78">
        <f t="shared" si="17"/>
        <v>118.81845154445598</v>
      </c>
      <c r="AH28" s="71">
        <f t="shared" si="18"/>
        <v>110.24108722607586</v>
      </c>
      <c r="AI28" s="78">
        <v>75</v>
      </c>
      <c r="AJ28" s="72">
        <f t="shared" si="19"/>
        <v>76.21676161078729</v>
      </c>
      <c r="AK28" s="72">
        <f t="shared" si="20"/>
        <v>1.2167616107872874</v>
      </c>
      <c r="AL28" s="71">
        <f t="shared" si="10"/>
        <v>70.96478908728815</v>
      </c>
      <c r="AM28" s="39">
        <v>20</v>
      </c>
      <c r="AN28" s="97" t="s">
        <v>36</v>
      </c>
      <c r="AO28" s="72">
        <v>28897</v>
      </c>
      <c r="AP28" s="72">
        <v>33465</v>
      </c>
      <c r="AQ28" s="72">
        <v>36275</v>
      </c>
      <c r="AR28" s="72">
        <v>30832</v>
      </c>
      <c r="AS28" s="72">
        <v>34350</v>
      </c>
      <c r="AT28" s="72">
        <v>11808</v>
      </c>
      <c r="AU28" s="72">
        <v>13395.395077486191</v>
      </c>
      <c r="AV28" s="72">
        <v>18174</v>
      </c>
      <c r="AW28" s="72">
        <v>12705</v>
      </c>
      <c r="AX28" s="72">
        <v>14841.368723750491</v>
      </c>
      <c r="AY28" s="78">
        <f t="shared" si="21"/>
        <v>116.81518082448241</v>
      </c>
      <c r="AZ28" s="71">
        <f t="shared" si="22"/>
        <v>110.79455766627268</v>
      </c>
      <c r="BA28" s="78">
        <v>50</v>
      </c>
      <c r="BB28" s="72">
        <f t="shared" si="23"/>
        <v>43.20631360626053</v>
      </c>
      <c r="BC28" s="72">
        <f t="shared" si="24"/>
        <v>-6.7936863937394705</v>
      </c>
      <c r="BD28" s="71">
        <f t="shared" si="11"/>
        <v>40.02807433882023</v>
      </c>
      <c r="CK28" s="42">
        <v>19955.82</v>
      </c>
      <c r="CL28" s="42">
        <v>22824.71</v>
      </c>
      <c r="CM28" s="42">
        <v>21267</v>
      </c>
      <c r="CN28" s="42">
        <v>24809.12</v>
      </c>
      <c r="CO28" s="42">
        <v>27880</v>
      </c>
    </row>
    <row r="29" spans="1:93" ht="18.75">
      <c r="A29" s="62">
        <v>21</v>
      </c>
      <c r="B29" s="66" t="s">
        <v>37</v>
      </c>
      <c r="C29" s="80">
        <v>22882.1</v>
      </c>
      <c r="D29" s="80">
        <v>25973.1</v>
      </c>
      <c r="E29" s="80">
        <v>28656.4</v>
      </c>
      <c r="F29" s="72">
        <v>24691.5</v>
      </c>
      <c r="G29" s="72">
        <v>27088.5</v>
      </c>
      <c r="H29" s="80">
        <v>26398</v>
      </c>
      <c r="I29" s="80">
        <v>34581</v>
      </c>
      <c r="J29" s="80">
        <v>37167.3508</v>
      </c>
      <c r="K29" s="74">
        <v>27915</v>
      </c>
      <c r="L29" s="81">
        <v>42218.62818279838</v>
      </c>
      <c r="M29" s="78">
        <f t="shared" si="15"/>
        <v>151.23993617337769</v>
      </c>
      <c r="N29" s="77">
        <f>L29/I29*100</f>
        <v>122.08619815158144</v>
      </c>
      <c r="O29" s="78">
        <v>129</v>
      </c>
      <c r="P29" s="78">
        <f>L29/G29*100</f>
        <v>155.85443336765925</v>
      </c>
      <c r="Q29" s="78">
        <f>P29-O29</f>
        <v>26.854433367659254</v>
      </c>
      <c r="R29" s="71">
        <f t="shared" si="9"/>
        <v>133.14159649791515</v>
      </c>
      <c r="U29" s="39">
        <v>21</v>
      </c>
      <c r="V29" s="66" t="s">
        <v>37</v>
      </c>
      <c r="W29" s="80">
        <v>22882.1</v>
      </c>
      <c r="X29" s="80">
        <v>25973.1</v>
      </c>
      <c r="Y29" s="80">
        <v>28656.4</v>
      </c>
      <c r="Z29" s="72">
        <v>24691.5</v>
      </c>
      <c r="AA29" s="72">
        <v>27088.5</v>
      </c>
      <c r="AB29" s="80">
        <v>17024</v>
      </c>
      <c r="AC29" s="80">
        <v>21108</v>
      </c>
      <c r="AD29" s="80">
        <v>21664.2384</v>
      </c>
      <c r="AE29" s="72">
        <v>17721</v>
      </c>
      <c r="AF29" s="81">
        <v>22279.800058030647</v>
      </c>
      <c r="AG29" s="78">
        <f t="shared" si="17"/>
        <v>125.72541085734805</v>
      </c>
      <c r="AH29" s="71">
        <f t="shared" si="18"/>
        <v>105.55144996224486</v>
      </c>
      <c r="AI29" s="78">
        <v>75</v>
      </c>
      <c r="AJ29" s="72">
        <f t="shared" si="19"/>
        <v>82.24818671403233</v>
      </c>
      <c r="AK29" s="72">
        <f>AJ29-AI29</f>
        <v>7.248186714032329</v>
      </c>
      <c r="AL29" s="71">
        <f t="shared" si="10"/>
        <v>81.26869722905622</v>
      </c>
      <c r="AM29" s="39">
        <v>21</v>
      </c>
      <c r="AN29" s="97" t="s">
        <v>37</v>
      </c>
      <c r="AO29" s="80">
        <v>22882.1</v>
      </c>
      <c r="AP29" s="80">
        <v>25973.1</v>
      </c>
      <c r="AQ29" s="80">
        <v>28656.4</v>
      </c>
      <c r="AR29" s="72">
        <v>24691.5</v>
      </c>
      <c r="AS29" s="72">
        <v>27088.5</v>
      </c>
      <c r="AT29" s="80">
        <v>6021</v>
      </c>
      <c r="AU29" s="80">
        <v>8900</v>
      </c>
      <c r="AV29" s="80">
        <v>14356.8564</v>
      </c>
      <c r="AW29" s="72">
        <v>7397</v>
      </c>
      <c r="AX29" s="81">
        <v>11648.18010841907</v>
      </c>
      <c r="AY29" s="78">
        <f t="shared" si="21"/>
        <v>157.47167917289536</v>
      </c>
      <c r="AZ29" s="71">
        <f t="shared" si="22"/>
        <v>130.87842818448394</v>
      </c>
      <c r="BA29" s="78">
        <v>50</v>
      </c>
      <c r="BB29" s="72">
        <f t="shared" si="23"/>
        <v>43.00046185067121</v>
      </c>
      <c r="BC29" s="72">
        <f>BB29-BA29</f>
        <v>-6.999538149328792</v>
      </c>
      <c r="BD29" s="71">
        <f t="shared" si="11"/>
        <v>34.26622159079971</v>
      </c>
      <c r="CK29" s="45">
        <v>16500</v>
      </c>
      <c r="CL29" s="45">
        <v>19769.63190184049</v>
      </c>
      <c r="CM29" s="42">
        <v>18756.25</v>
      </c>
      <c r="CN29" s="46">
        <v>21985.171021882306</v>
      </c>
      <c r="CO29" s="45">
        <v>21798.37749579451</v>
      </c>
    </row>
    <row r="30" spans="1:93" ht="18.75">
      <c r="A30" s="62">
        <v>22</v>
      </c>
      <c r="B30" s="66" t="s">
        <v>38</v>
      </c>
      <c r="C30" s="71">
        <v>50453</v>
      </c>
      <c r="D30" s="71">
        <v>55621</v>
      </c>
      <c r="E30" s="71">
        <v>57664</v>
      </c>
      <c r="F30" s="72">
        <v>53334.23</v>
      </c>
      <c r="G30" s="71">
        <v>57664</v>
      </c>
      <c r="H30" s="71">
        <v>82377</v>
      </c>
      <c r="I30" s="71">
        <v>94107</v>
      </c>
      <c r="J30" s="71">
        <v>99366</v>
      </c>
      <c r="K30" s="74">
        <v>87465.91</v>
      </c>
      <c r="L30" s="71">
        <v>95794</v>
      </c>
      <c r="M30" s="78">
        <f t="shared" si="15"/>
        <v>109.52152672967101</v>
      </c>
      <c r="N30" s="77">
        <f t="shared" si="16"/>
        <v>101.79264029243309</v>
      </c>
      <c r="O30" s="77">
        <v>172</v>
      </c>
      <c r="P30" s="78">
        <f aca="true" t="shared" si="25" ref="P30:P37">L30/G30*100</f>
        <v>166.1244450610433</v>
      </c>
      <c r="Q30" s="78">
        <f aca="true" t="shared" si="26" ref="Q30:Q37">P30-O30</f>
        <v>-5.875554938956697</v>
      </c>
      <c r="R30" s="71">
        <f t="shared" si="9"/>
        <v>169.19329030402187</v>
      </c>
      <c r="U30" s="39">
        <v>22</v>
      </c>
      <c r="V30" s="66" t="s">
        <v>38</v>
      </c>
      <c r="W30" s="71">
        <v>50453</v>
      </c>
      <c r="X30" s="71">
        <v>55621</v>
      </c>
      <c r="Y30" s="71">
        <v>57664</v>
      </c>
      <c r="Z30" s="72">
        <v>53334.23</v>
      </c>
      <c r="AA30" s="71">
        <v>57664</v>
      </c>
      <c r="AB30" s="71">
        <v>51216</v>
      </c>
      <c r="AC30" s="71">
        <v>58250</v>
      </c>
      <c r="AD30" s="71">
        <v>60450</v>
      </c>
      <c r="AE30" s="72">
        <v>51480.98</v>
      </c>
      <c r="AF30" s="71">
        <v>58212</v>
      </c>
      <c r="AG30" s="78">
        <f t="shared" si="17"/>
        <v>113.07477052690137</v>
      </c>
      <c r="AH30" s="71">
        <f t="shared" si="18"/>
        <v>99.93476394849785</v>
      </c>
      <c r="AI30" s="77">
        <v>105</v>
      </c>
      <c r="AJ30" s="72">
        <f t="shared" si="19"/>
        <v>100.95033296337404</v>
      </c>
      <c r="AK30" s="72">
        <f t="shared" si="20"/>
        <v>-4.049667036625962</v>
      </c>
      <c r="AL30" s="71">
        <f t="shared" si="10"/>
        <v>104.72663202747164</v>
      </c>
      <c r="AM30" s="39">
        <v>22</v>
      </c>
      <c r="AN30" s="97" t="s">
        <v>38</v>
      </c>
      <c r="AO30" s="71">
        <v>50453</v>
      </c>
      <c r="AP30" s="71">
        <v>55621</v>
      </c>
      <c r="AQ30" s="71">
        <v>57664</v>
      </c>
      <c r="AR30" s="72">
        <v>53334.23</v>
      </c>
      <c r="AS30" s="71">
        <v>57664</v>
      </c>
      <c r="AT30" s="71">
        <v>20990</v>
      </c>
      <c r="AU30" s="71">
        <v>27799</v>
      </c>
      <c r="AV30" s="75">
        <v>32850</v>
      </c>
      <c r="AW30" s="72">
        <v>26619.54</v>
      </c>
      <c r="AX30" s="71">
        <v>29386</v>
      </c>
      <c r="AY30" s="78">
        <f t="shared" si="21"/>
        <v>110.39259130698727</v>
      </c>
      <c r="AZ30" s="71">
        <f t="shared" si="22"/>
        <v>105.70883844742616</v>
      </c>
      <c r="BA30" s="77">
        <v>57</v>
      </c>
      <c r="BB30" s="72">
        <f t="shared" si="23"/>
        <v>50.960738068812425</v>
      </c>
      <c r="BC30" s="72">
        <f t="shared" si="24"/>
        <v>-6.039261931187575</v>
      </c>
      <c r="BD30" s="71">
        <f t="shared" si="11"/>
        <v>49.97932435590874</v>
      </c>
      <c r="CK30" s="41">
        <v>41075.3</v>
      </c>
      <c r="CL30" s="41">
        <v>56814.46</v>
      </c>
      <c r="CM30" s="31">
        <v>46362.93</v>
      </c>
      <c r="CN30" s="41">
        <v>51883.24</v>
      </c>
      <c r="CO30" s="41">
        <v>56350</v>
      </c>
    </row>
    <row r="31" spans="1:93" ht="18.75">
      <c r="A31" s="62">
        <v>23</v>
      </c>
      <c r="B31" s="66" t="s">
        <v>39</v>
      </c>
      <c r="C31" s="71">
        <v>20250</v>
      </c>
      <c r="D31" s="71">
        <v>22890</v>
      </c>
      <c r="E31" s="71">
        <v>25471</v>
      </c>
      <c r="F31" s="122">
        <v>22057</v>
      </c>
      <c r="G31" s="71">
        <v>24114</v>
      </c>
      <c r="H31" s="71">
        <v>27893</v>
      </c>
      <c r="I31" s="71">
        <v>29060</v>
      </c>
      <c r="J31" s="71">
        <v>31535.1</v>
      </c>
      <c r="K31" s="71">
        <v>28753</v>
      </c>
      <c r="L31" s="71">
        <v>29335</v>
      </c>
      <c r="M31" s="78">
        <f t="shared" si="15"/>
        <v>102.0241366118318</v>
      </c>
      <c r="N31" s="77">
        <f t="shared" si="16"/>
        <v>100.94631796283551</v>
      </c>
      <c r="O31" s="77">
        <v>116</v>
      </c>
      <c r="P31" s="78">
        <f t="shared" si="25"/>
        <v>121.65132288297255</v>
      </c>
      <c r="Q31" s="78">
        <f t="shared" si="26"/>
        <v>5.651322882972551</v>
      </c>
      <c r="R31" s="71">
        <f t="shared" si="9"/>
        <v>126.95500218435998</v>
      </c>
      <c r="U31" s="39">
        <v>23</v>
      </c>
      <c r="V31" s="66" t="s">
        <v>39</v>
      </c>
      <c r="W31" s="71">
        <v>20250</v>
      </c>
      <c r="X31" s="71">
        <v>22890</v>
      </c>
      <c r="Y31" s="71">
        <v>25471</v>
      </c>
      <c r="Z31" s="122">
        <v>22057</v>
      </c>
      <c r="AA31" s="71">
        <v>24114</v>
      </c>
      <c r="AB31" s="71">
        <v>13681</v>
      </c>
      <c r="AC31" s="71">
        <v>14434</v>
      </c>
      <c r="AD31" s="71">
        <v>15702</v>
      </c>
      <c r="AE31" s="71">
        <v>13860</v>
      </c>
      <c r="AF31" s="71">
        <v>14607</v>
      </c>
      <c r="AG31" s="78">
        <f t="shared" si="17"/>
        <v>105.38961038961038</v>
      </c>
      <c r="AH31" s="71">
        <f t="shared" si="18"/>
        <v>101.1985589580158</v>
      </c>
      <c r="AI31" s="77">
        <v>61</v>
      </c>
      <c r="AJ31" s="72">
        <f t="shared" si="19"/>
        <v>60.57476984324459</v>
      </c>
      <c r="AK31" s="72">
        <f t="shared" si="20"/>
        <v>-0.4252301567554113</v>
      </c>
      <c r="AL31" s="71">
        <f t="shared" si="10"/>
        <v>63.058103975535175</v>
      </c>
      <c r="AM31" s="39">
        <v>23</v>
      </c>
      <c r="AN31" s="97" t="s">
        <v>39</v>
      </c>
      <c r="AO31" s="71">
        <v>20250</v>
      </c>
      <c r="AP31" s="71">
        <v>22890</v>
      </c>
      <c r="AQ31" s="71">
        <v>25471</v>
      </c>
      <c r="AR31" s="122">
        <v>22057</v>
      </c>
      <c r="AS31" s="71">
        <v>24114</v>
      </c>
      <c r="AT31" s="71">
        <v>6427</v>
      </c>
      <c r="AU31" s="71">
        <v>6695</v>
      </c>
      <c r="AV31" s="71">
        <v>7977</v>
      </c>
      <c r="AW31" s="71">
        <v>6442</v>
      </c>
      <c r="AX31" s="71">
        <v>7432</v>
      </c>
      <c r="AY31" s="78">
        <f t="shared" si="21"/>
        <v>115.36789816827073</v>
      </c>
      <c r="AZ31" s="71">
        <f t="shared" si="22"/>
        <v>111.00821508588498</v>
      </c>
      <c r="BA31" s="77">
        <v>28</v>
      </c>
      <c r="BB31" s="72">
        <f t="shared" si="23"/>
        <v>30.8202703823505</v>
      </c>
      <c r="BC31" s="72">
        <f t="shared" si="24"/>
        <v>2.8202703823505004</v>
      </c>
      <c r="BD31" s="71">
        <f t="shared" si="11"/>
        <v>29.248580166011358</v>
      </c>
      <c r="CK31" s="41">
        <v>13881</v>
      </c>
      <c r="CL31" s="41">
        <v>14416</v>
      </c>
      <c r="CM31" s="41">
        <v>14058</v>
      </c>
      <c r="CN31" s="41">
        <v>14913</v>
      </c>
      <c r="CO31" s="41">
        <v>16031</v>
      </c>
    </row>
    <row r="32" spans="1:93" ht="18.75">
      <c r="A32" s="62">
        <v>24</v>
      </c>
      <c r="B32" s="66" t="s">
        <v>40</v>
      </c>
      <c r="C32" s="71">
        <v>20448</v>
      </c>
      <c r="D32" s="71">
        <v>22268</v>
      </c>
      <c r="E32" s="71">
        <v>24510</v>
      </c>
      <c r="F32" s="72">
        <v>20055.4</v>
      </c>
      <c r="G32" s="71">
        <v>21712</v>
      </c>
      <c r="H32" s="71">
        <v>28812</v>
      </c>
      <c r="I32" s="71">
        <v>37700</v>
      </c>
      <c r="J32" s="71">
        <v>37991</v>
      </c>
      <c r="K32" s="71">
        <v>33798</v>
      </c>
      <c r="L32" s="71">
        <v>39942</v>
      </c>
      <c r="M32" s="78">
        <f t="shared" si="15"/>
        <v>118.17859044913901</v>
      </c>
      <c r="N32" s="77">
        <f t="shared" si="16"/>
        <v>105.946949602122</v>
      </c>
      <c r="O32" s="77">
        <v>153</v>
      </c>
      <c r="P32" s="78">
        <f t="shared" si="25"/>
        <v>183.96278555637434</v>
      </c>
      <c r="Q32" s="78">
        <f t="shared" si="26"/>
        <v>30.962785556374342</v>
      </c>
      <c r="R32" s="71">
        <f t="shared" si="9"/>
        <v>169.30123944673971</v>
      </c>
      <c r="U32" s="39">
        <v>24</v>
      </c>
      <c r="V32" s="66" t="s">
        <v>40</v>
      </c>
      <c r="W32" s="71">
        <v>20448</v>
      </c>
      <c r="X32" s="71">
        <v>22268</v>
      </c>
      <c r="Y32" s="71">
        <v>24510</v>
      </c>
      <c r="Z32" s="72">
        <v>20055</v>
      </c>
      <c r="AA32" s="71">
        <v>21712</v>
      </c>
      <c r="AB32" s="71">
        <v>16858</v>
      </c>
      <c r="AC32" s="71">
        <v>23017</v>
      </c>
      <c r="AD32" s="71">
        <v>23285</v>
      </c>
      <c r="AE32" s="71">
        <v>20307</v>
      </c>
      <c r="AF32" s="71">
        <v>23810</v>
      </c>
      <c r="AG32" s="78">
        <f t="shared" si="17"/>
        <v>117.25020928743784</v>
      </c>
      <c r="AH32" s="71">
        <f t="shared" si="18"/>
        <v>103.44527957596559</v>
      </c>
      <c r="AI32" s="77">
        <v>92</v>
      </c>
      <c r="AJ32" s="72">
        <f t="shared" si="19"/>
        <v>109.66285924834193</v>
      </c>
      <c r="AK32" s="72">
        <f t="shared" si="20"/>
        <v>17.66285924834193</v>
      </c>
      <c r="AL32" s="71">
        <f t="shared" si="10"/>
        <v>103.36357104365008</v>
      </c>
      <c r="AM32" s="39">
        <v>24</v>
      </c>
      <c r="AN32" s="97" t="s">
        <v>40</v>
      </c>
      <c r="AO32" s="71">
        <v>20448</v>
      </c>
      <c r="AP32" s="71">
        <v>22268</v>
      </c>
      <c r="AQ32" s="71">
        <v>24510</v>
      </c>
      <c r="AR32" s="72">
        <v>20055</v>
      </c>
      <c r="AS32" s="71">
        <v>21712</v>
      </c>
      <c r="AT32" s="71">
        <v>12335</v>
      </c>
      <c r="AU32" s="71">
        <v>11379</v>
      </c>
      <c r="AV32" s="71">
        <v>15196</v>
      </c>
      <c r="AW32" s="71">
        <v>11064</v>
      </c>
      <c r="AX32" s="71">
        <v>13691</v>
      </c>
      <c r="AY32" s="78">
        <f t="shared" si="21"/>
        <v>123.74367317425884</v>
      </c>
      <c r="AZ32" s="71">
        <f t="shared" si="22"/>
        <v>120.3181298883909</v>
      </c>
      <c r="BA32" s="77">
        <v>60</v>
      </c>
      <c r="BB32" s="72">
        <f t="shared" si="23"/>
        <v>63.05729550478998</v>
      </c>
      <c r="BC32" s="72">
        <f t="shared" si="24"/>
        <v>3.057295504789977</v>
      </c>
      <c r="BD32" s="71">
        <f t="shared" si="11"/>
        <v>51.100233518950965</v>
      </c>
      <c r="CK32" s="41">
        <v>18427</v>
      </c>
      <c r="CL32" s="41">
        <v>23052</v>
      </c>
      <c r="CM32" s="41">
        <v>20714</v>
      </c>
      <c r="CN32" s="41">
        <v>24569</v>
      </c>
      <c r="CO32" s="41">
        <v>23367</v>
      </c>
    </row>
    <row r="33" spans="1:93" s="69" customFormat="1" ht="18.75">
      <c r="A33" s="130">
        <v>25</v>
      </c>
      <c r="B33" s="131" t="s">
        <v>41</v>
      </c>
      <c r="C33" s="77">
        <v>23303</v>
      </c>
      <c r="D33" s="77">
        <v>26758</v>
      </c>
      <c r="E33" s="77">
        <v>29700</v>
      </c>
      <c r="F33" s="77"/>
      <c r="G33" s="77">
        <v>26872</v>
      </c>
      <c r="H33" s="78">
        <v>29495</v>
      </c>
      <c r="I33" s="78">
        <v>34596</v>
      </c>
      <c r="J33" s="78">
        <v>38508</v>
      </c>
      <c r="K33" s="78">
        <v>31835</v>
      </c>
      <c r="L33" s="78">
        <v>36263</v>
      </c>
      <c r="M33" s="78">
        <f t="shared" si="15"/>
        <v>113.9092194125962</v>
      </c>
      <c r="N33" s="77">
        <f t="shared" si="16"/>
        <v>104.81847612440744</v>
      </c>
      <c r="O33" s="77">
        <v>129</v>
      </c>
      <c r="P33" s="78">
        <f t="shared" si="25"/>
        <v>134.94715689193214</v>
      </c>
      <c r="Q33" s="78">
        <f t="shared" si="26"/>
        <v>5.9471568919321385</v>
      </c>
      <c r="R33" s="77">
        <f t="shared" si="9"/>
        <v>129.2921743030122</v>
      </c>
      <c r="S33" s="134"/>
      <c r="U33" s="135">
        <v>25</v>
      </c>
      <c r="V33" s="131" t="s">
        <v>41</v>
      </c>
      <c r="W33" s="77">
        <v>23303</v>
      </c>
      <c r="X33" s="77">
        <v>26758</v>
      </c>
      <c r="Y33" s="77">
        <v>29700</v>
      </c>
      <c r="Z33" s="77"/>
      <c r="AA33" s="77">
        <v>26872</v>
      </c>
      <c r="AB33" s="78">
        <v>18300</v>
      </c>
      <c r="AC33" s="78">
        <v>21814</v>
      </c>
      <c r="AD33" s="78">
        <v>24358</v>
      </c>
      <c r="AE33" s="78">
        <v>20872</v>
      </c>
      <c r="AF33" s="78">
        <v>23043</v>
      </c>
      <c r="AG33" s="78">
        <f t="shared" si="17"/>
        <v>110.40149482560369</v>
      </c>
      <c r="AH33" s="77">
        <f t="shared" si="18"/>
        <v>105.6339965159989</v>
      </c>
      <c r="AI33" s="77">
        <v>82</v>
      </c>
      <c r="AJ33" s="78">
        <f t="shared" si="19"/>
        <v>85.75096754986603</v>
      </c>
      <c r="AK33" s="78">
        <f t="shared" si="20"/>
        <v>3.750967549866033</v>
      </c>
      <c r="AL33" s="77">
        <f t="shared" si="10"/>
        <v>81.52328275655879</v>
      </c>
      <c r="AM33" s="135">
        <v>25</v>
      </c>
      <c r="AN33" s="136" t="s">
        <v>41</v>
      </c>
      <c r="AO33" s="77">
        <v>23303</v>
      </c>
      <c r="AP33" s="77">
        <v>26758</v>
      </c>
      <c r="AQ33" s="77">
        <v>29700</v>
      </c>
      <c r="AR33" s="77"/>
      <c r="AS33" s="77">
        <v>26872</v>
      </c>
      <c r="AT33" s="78">
        <v>10348</v>
      </c>
      <c r="AU33" s="78">
        <v>12297.977776041345</v>
      </c>
      <c r="AV33" s="78">
        <v>13758.937930202119</v>
      </c>
      <c r="AW33" s="78">
        <v>11836</v>
      </c>
      <c r="AX33" s="78">
        <v>13440</v>
      </c>
      <c r="AY33" s="78">
        <f t="shared" si="21"/>
        <v>113.55187563366003</v>
      </c>
      <c r="AZ33" s="77">
        <f t="shared" si="22"/>
        <v>109.28626026779393</v>
      </c>
      <c r="BA33" s="77">
        <v>46</v>
      </c>
      <c r="BB33" s="78">
        <f t="shared" si="23"/>
        <v>50.01488538255433</v>
      </c>
      <c r="BC33" s="78">
        <f t="shared" si="24"/>
        <v>4.014885382554333</v>
      </c>
      <c r="BD33" s="77">
        <f t="shared" si="11"/>
        <v>45.9600036476618</v>
      </c>
      <c r="BE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K33" s="143">
        <v>18146</v>
      </c>
      <c r="CL33" s="143">
        <v>21757</v>
      </c>
      <c r="CM33" s="143">
        <v>20238</v>
      </c>
      <c r="CN33" s="143">
        <v>22017.105071937218</v>
      </c>
      <c r="CO33" s="143">
        <v>23311.029704483288</v>
      </c>
    </row>
    <row r="34" spans="1:93" ht="18.75">
      <c r="A34" s="62">
        <v>26</v>
      </c>
      <c r="B34" s="66" t="s">
        <v>42</v>
      </c>
      <c r="C34" s="72">
        <v>32338</v>
      </c>
      <c r="D34" s="72">
        <v>36750</v>
      </c>
      <c r="E34" s="72">
        <v>40560</v>
      </c>
      <c r="F34" s="72">
        <v>33642.9</v>
      </c>
      <c r="G34" s="72">
        <v>35612</v>
      </c>
      <c r="H34" s="74">
        <v>42794.7</v>
      </c>
      <c r="I34" s="74">
        <v>52314.2</v>
      </c>
      <c r="J34" s="74">
        <v>54853.8</v>
      </c>
      <c r="K34" s="74">
        <v>46647.7</v>
      </c>
      <c r="L34" s="74">
        <v>51009.3</v>
      </c>
      <c r="M34" s="78">
        <f t="shared" si="15"/>
        <v>109.35008585632305</v>
      </c>
      <c r="N34" s="77">
        <f t="shared" si="16"/>
        <v>97.50564856195834</v>
      </c>
      <c r="O34" s="78">
        <v>131</v>
      </c>
      <c r="P34" s="78">
        <f t="shared" si="25"/>
        <v>143.23626867348085</v>
      </c>
      <c r="Q34" s="78">
        <f t="shared" si="26"/>
        <v>12.23626867348085</v>
      </c>
      <c r="R34" s="71">
        <f t="shared" si="9"/>
        <v>142.35156462585033</v>
      </c>
      <c r="U34" s="39">
        <v>26</v>
      </c>
      <c r="V34" s="66" t="s">
        <v>42</v>
      </c>
      <c r="W34" s="72">
        <v>32338</v>
      </c>
      <c r="X34" s="72">
        <v>36750</v>
      </c>
      <c r="Y34" s="72">
        <v>40560</v>
      </c>
      <c r="Z34" s="72">
        <v>33642.9</v>
      </c>
      <c r="AA34" s="72">
        <v>35612</v>
      </c>
      <c r="AB34" s="72">
        <v>22328.1</v>
      </c>
      <c r="AC34" s="72">
        <v>26930.4</v>
      </c>
      <c r="AD34" s="72">
        <v>29287.7</v>
      </c>
      <c r="AE34" s="72">
        <v>24202.52</v>
      </c>
      <c r="AF34" s="72">
        <v>27292.2</v>
      </c>
      <c r="AG34" s="78">
        <f t="shared" si="17"/>
        <v>112.76594338110246</v>
      </c>
      <c r="AH34" s="71">
        <f t="shared" si="18"/>
        <v>101.3434631494519</v>
      </c>
      <c r="AI34" s="78">
        <v>75</v>
      </c>
      <c r="AJ34" s="72">
        <f t="shared" si="19"/>
        <v>76.63765023025947</v>
      </c>
      <c r="AK34" s="72">
        <f t="shared" si="20"/>
        <v>1.6376502302594673</v>
      </c>
      <c r="AL34" s="71">
        <f t="shared" si="10"/>
        <v>73.28</v>
      </c>
      <c r="AM34" s="39">
        <v>26</v>
      </c>
      <c r="AN34" s="97" t="s">
        <v>42</v>
      </c>
      <c r="AO34" s="72">
        <v>32338</v>
      </c>
      <c r="AP34" s="72">
        <v>36750</v>
      </c>
      <c r="AQ34" s="72">
        <v>40560</v>
      </c>
      <c r="AR34" s="72">
        <v>33642.9</v>
      </c>
      <c r="AS34" s="72">
        <v>35612</v>
      </c>
      <c r="AT34" s="72">
        <v>12081.7</v>
      </c>
      <c r="AU34" s="72">
        <v>14173.7</v>
      </c>
      <c r="AV34" s="72">
        <v>20189.9</v>
      </c>
      <c r="AW34" s="72">
        <v>12626.56</v>
      </c>
      <c r="AX34" s="72">
        <v>14992.2</v>
      </c>
      <c r="AY34" s="78">
        <f t="shared" si="21"/>
        <v>118.73542754321052</v>
      </c>
      <c r="AZ34" s="71">
        <f t="shared" si="22"/>
        <v>105.774780050375</v>
      </c>
      <c r="BA34" s="78">
        <v>50</v>
      </c>
      <c r="BB34" s="72">
        <f t="shared" si="23"/>
        <v>42.098730764910705</v>
      </c>
      <c r="BC34" s="72">
        <f t="shared" si="24"/>
        <v>-7.901269235089295</v>
      </c>
      <c r="BD34" s="71">
        <f t="shared" si="11"/>
        <v>38.567891156462586</v>
      </c>
      <c r="CK34" s="42">
        <v>23401.4</v>
      </c>
      <c r="CL34" s="42">
        <v>27751</v>
      </c>
      <c r="CM34" s="42">
        <v>24486.27</v>
      </c>
      <c r="CN34" s="42">
        <v>27818.5</v>
      </c>
      <c r="CO34" s="42">
        <v>31147.4</v>
      </c>
    </row>
    <row r="35" spans="1:93" ht="18.75">
      <c r="A35" s="62">
        <v>27</v>
      </c>
      <c r="B35" s="66" t="s">
        <v>43</v>
      </c>
      <c r="C35" s="72">
        <v>18285</v>
      </c>
      <c r="D35" s="73">
        <v>16909.986908917803</v>
      </c>
      <c r="E35" s="72">
        <v>22662</v>
      </c>
      <c r="F35" s="82">
        <v>14608</v>
      </c>
      <c r="G35" s="73">
        <v>17911</v>
      </c>
      <c r="H35" s="72">
        <v>27377</v>
      </c>
      <c r="I35" s="73">
        <v>31107.472733469665</v>
      </c>
      <c r="J35" s="72">
        <v>29393</v>
      </c>
      <c r="K35" s="82">
        <v>25985</v>
      </c>
      <c r="L35" s="73">
        <v>30743.83116883117</v>
      </c>
      <c r="M35" s="78">
        <f t="shared" si="15"/>
        <v>118.31376243537106</v>
      </c>
      <c r="N35" s="77">
        <f t="shared" si="16"/>
        <v>98.83101540342349</v>
      </c>
      <c r="O35" s="77">
        <v>129</v>
      </c>
      <c r="P35" s="78">
        <f t="shared" si="25"/>
        <v>171.64776488655667</v>
      </c>
      <c r="Q35" s="78">
        <f t="shared" si="26"/>
        <v>42.64776488655667</v>
      </c>
      <c r="R35" s="71">
        <f t="shared" si="9"/>
        <v>183.959176911394</v>
      </c>
      <c r="U35" s="39">
        <v>27</v>
      </c>
      <c r="V35" s="66" t="s">
        <v>43</v>
      </c>
      <c r="W35" s="72">
        <v>18285</v>
      </c>
      <c r="X35" s="73">
        <v>16909.986908917803</v>
      </c>
      <c r="Y35" s="72">
        <v>22662</v>
      </c>
      <c r="Z35" s="82">
        <v>14608</v>
      </c>
      <c r="AA35" s="73">
        <v>17911</v>
      </c>
      <c r="AB35" s="72">
        <v>13712</v>
      </c>
      <c r="AC35" s="73">
        <v>15891.977141828651</v>
      </c>
      <c r="AD35" s="72">
        <v>16001</v>
      </c>
      <c r="AE35" s="82">
        <v>13496</v>
      </c>
      <c r="AF35" s="73">
        <v>16660.47274302333</v>
      </c>
      <c r="AG35" s="78">
        <f t="shared" si="17"/>
        <v>123.44748624054039</v>
      </c>
      <c r="AH35" s="71">
        <f t="shared" si="18"/>
        <v>104.83574569945706</v>
      </c>
      <c r="AI35" s="83">
        <v>75</v>
      </c>
      <c r="AJ35" s="78">
        <f t="shared" si="19"/>
        <v>93.01810475698358</v>
      </c>
      <c r="AK35" s="78">
        <f t="shared" si="20"/>
        <v>18.018104756983575</v>
      </c>
      <c r="AL35" s="71">
        <f t="shared" si="10"/>
        <v>93.97983113427317</v>
      </c>
      <c r="AM35" s="39">
        <v>27</v>
      </c>
      <c r="AN35" s="97" t="s">
        <v>43</v>
      </c>
      <c r="AO35" s="72">
        <v>18285</v>
      </c>
      <c r="AP35" s="73">
        <v>16909.986908917803</v>
      </c>
      <c r="AQ35" s="72">
        <v>22662</v>
      </c>
      <c r="AR35" s="82">
        <v>14608</v>
      </c>
      <c r="AS35" s="73">
        <v>17911</v>
      </c>
      <c r="AT35" s="72">
        <v>6798</v>
      </c>
      <c r="AU35" s="73">
        <v>7642</v>
      </c>
      <c r="AV35" s="72">
        <v>8527</v>
      </c>
      <c r="AW35" s="82">
        <v>6786</v>
      </c>
      <c r="AX35" s="73">
        <v>8076.04938271605</v>
      </c>
      <c r="AY35" s="78">
        <f t="shared" si="21"/>
        <v>119.01045362092617</v>
      </c>
      <c r="AZ35" s="71">
        <f t="shared" si="22"/>
        <v>105.6797877874385</v>
      </c>
      <c r="BA35" s="83">
        <v>50</v>
      </c>
      <c r="BB35" s="72">
        <f t="shared" si="23"/>
        <v>45.089885448696606</v>
      </c>
      <c r="BC35" s="72">
        <f t="shared" si="24"/>
        <v>-4.910114551303394</v>
      </c>
      <c r="BD35" s="71">
        <f t="shared" si="11"/>
        <v>45.19222895418001</v>
      </c>
      <c r="CK35" s="26">
        <v>14902</v>
      </c>
      <c r="CL35" s="26">
        <v>16910</v>
      </c>
      <c r="CM35" s="26">
        <v>14608</v>
      </c>
      <c r="CN35" s="26">
        <v>17911</v>
      </c>
      <c r="CO35" s="26">
        <v>17589</v>
      </c>
    </row>
    <row r="36" spans="1:93" ht="18.75">
      <c r="A36" s="62">
        <v>28</v>
      </c>
      <c r="B36" s="66" t="s">
        <v>44</v>
      </c>
      <c r="C36" s="72">
        <v>15721</v>
      </c>
      <c r="D36" s="72">
        <v>17936</v>
      </c>
      <c r="E36" s="72">
        <v>21165</v>
      </c>
      <c r="F36" s="72">
        <v>17936</v>
      </c>
      <c r="G36" s="72">
        <v>21165</v>
      </c>
      <c r="H36" s="72">
        <v>23551</v>
      </c>
      <c r="I36" s="72">
        <v>25806</v>
      </c>
      <c r="J36" s="72">
        <v>32120</v>
      </c>
      <c r="K36" s="72">
        <v>24424.42</v>
      </c>
      <c r="L36" s="72">
        <v>31981.05</v>
      </c>
      <c r="M36" s="78">
        <f t="shared" si="15"/>
        <v>130.9388308913784</v>
      </c>
      <c r="N36" s="77">
        <f t="shared" si="16"/>
        <v>123.9287375029063</v>
      </c>
      <c r="O36" s="78">
        <v>152</v>
      </c>
      <c r="P36" s="78">
        <f t="shared" si="25"/>
        <v>151.10347271438695</v>
      </c>
      <c r="Q36" s="78">
        <f t="shared" si="26"/>
        <v>-0.8965272856130468</v>
      </c>
      <c r="R36" s="71">
        <f t="shared" si="9"/>
        <v>143.87823371989293</v>
      </c>
      <c r="U36" s="39">
        <v>28</v>
      </c>
      <c r="V36" s="66" t="s">
        <v>44</v>
      </c>
      <c r="W36" s="72">
        <v>15721</v>
      </c>
      <c r="X36" s="72">
        <v>17936</v>
      </c>
      <c r="Y36" s="72">
        <v>21165</v>
      </c>
      <c r="Z36" s="72">
        <v>17936</v>
      </c>
      <c r="AA36" s="72">
        <v>21165</v>
      </c>
      <c r="AB36" s="72">
        <v>12667</v>
      </c>
      <c r="AC36" s="72">
        <v>14363</v>
      </c>
      <c r="AD36" s="72">
        <v>18147</v>
      </c>
      <c r="AE36" s="72">
        <v>13315.78</v>
      </c>
      <c r="AF36" s="72">
        <v>17112.47</v>
      </c>
      <c r="AG36" s="78">
        <f t="shared" si="17"/>
        <v>128.5127119853287</v>
      </c>
      <c r="AH36" s="71">
        <f t="shared" si="18"/>
        <v>119.14272784237276</v>
      </c>
      <c r="AI36" s="78">
        <v>86</v>
      </c>
      <c r="AJ36" s="78">
        <f t="shared" si="19"/>
        <v>80.85268131348926</v>
      </c>
      <c r="AK36" s="78">
        <f t="shared" si="20"/>
        <v>-5.147318686510744</v>
      </c>
      <c r="AL36" s="71">
        <f t="shared" si="10"/>
        <v>80.07917038358609</v>
      </c>
      <c r="AM36" s="39">
        <v>28</v>
      </c>
      <c r="AN36" s="97" t="s">
        <v>44</v>
      </c>
      <c r="AO36" s="72">
        <v>15721</v>
      </c>
      <c r="AP36" s="72">
        <v>17936</v>
      </c>
      <c r="AQ36" s="72">
        <v>21165</v>
      </c>
      <c r="AR36" s="72">
        <v>17936</v>
      </c>
      <c r="AS36" s="72">
        <v>21165</v>
      </c>
      <c r="AT36" s="72">
        <v>5691</v>
      </c>
      <c r="AU36" s="72">
        <v>8808</v>
      </c>
      <c r="AV36" s="72">
        <v>11040</v>
      </c>
      <c r="AW36" s="72">
        <v>8294.03</v>
      </c>
      <c r="AX36" s="72">
        <v>11083.05</v>
      </c>
      <c r="AY36" s="78">
        <f t="shared" si="21"/>
        <v>133.6268376169365</v>
      </c>
      <c r="AZ36" s="71">
        <f t="shared" si="22"/>
        <v>125.82935967302451</v>
      </c>
      <c r="BA36" s="78">
        <v>52</v>
      </c>
      <c r="BB36" s="72">
        <f t="shared" si="23"/>
        <v>52.36498936924166</v>
      </c>
      <c r="BC36" s="72">
        <f t="shared" si="24"/>
        <v>0.3649893692416626</v>
      </c>
      <c r="BD36" s="71">
        <f t="shared" si="11"/>
        <v>49.10793933987511</v>
      </c>
      <c r="CK36" s="42">
        <v>17355</v>
      </c>
      <c r="CL36" s="42">
        <v>19533</v>
      </c>
      <c r="CM36" s="42">
        <v>13649.563498731904</v>
      </c>
      <c r="CN36" s="42">
        <v>17164.73</v>
      </c>
      <c r="CO36" s="42">
        <v>23764</v>
      </c>
    </row>
    <row r="37" spans="1:93" ht="18.75">
      <c r="A37" s="62">
        <v>29</v>
      </c>
      <c r="B37" s="66" t="s">
        <v>45</v>
      </c>
      <c r="C37" s="72">
        <v>29521</v>
      </c>
      <c r="D37" s="72">
        <v>32800</v>
      </c>
      <c r="E37" s="72">
        <v>36408</v>
      </c>
      <c r="F37" s="72">
        <v>31510</v>
      </c>
      <c r="G37" s="72">
        <v>33117</v>
      </c>
      <c r="H37" s="74">
        <v>29851</v>
      </c>
      <c r="I37" s="74">
        <v>33373</v>
      </c>
      <c r="J37" s="74">
        <v>47221</v>
      </c>
      <c r="K37" s="74">
        <v>32239</v>
      </c>
      <c r="L37" s="74">
        <v>37581</v>
      </c>
      <c r="M37" s="78">
        <f t="shared" si="15"/>
        <v>116.56999286578369</v>
      </c>
      <c r="N37" s="77">
        <f t="shared" si="16"/>
        <v>112.60899529559825</v>
      </c>
      <c r="O37" s="78">
        <v>129</v>
      </c>
      <c r="P37" s="78">
        <f t="shared" si="25"/>
        <v>113.47948183712293</v>
      </c>
      <c r="Q37" s="78">
        <f t="shared" si="26"/>
        <v>-15.520518162877067</v>
      </c>
      <c r="R37" s="71">
        <f t="shared" si="9"/>
        <v>101.7469512195122</v>
      </c>
      <c r="U37" s="39">
        <v>29</v>
      </c>
      <c r="V37" s="66" t="s">
        <v>45</v>
      </c>
      <c r="W37" s="72">
        <v>29521</v>
      </c>
      <c r="X37" s="72">
        <v>32800</v>
      </c>
      <c r="Y37" s="72">
        <v>36408</v>
      </c>
      <c r="Z37" s="72">
        <v>31510</v>
      </c>
      <c r="AA37" s="72">
        <v>33117</v>
      </c>
      <c r="AB37" s="72">
        <v>23583</v>
      </c>
      <c r="AC37" s="72">
        <v>26366</v>
      </c>
      <c r="AD37" s="72">
        <v>29398</v>
      </c>
      <c r="AE37" s="72">
        <v>25350</v>
      </c>
      <c r="AF37" s="72">
        <v>27125</v>
      </c>
      <c r="AG37" s="78">
        <f t="shared" si="17"/>
        <v>107.00197238658777</v>
      </c>
      <c r="AH37" s="71">
        <f t="shared" si="18"/>
        <v>102.87870742623075</v>
      </c>
      <c r="AI37" s="78">
        <v>80</v>
      </c>
      <c r="AJ37" s="78">
        <f t="shared" si="19"/>
        <v>81.90657366307335</v>
      </c>
      <c r="AK37" s="78">
        <f t="shared" si="20"/>
        <v>1.9065736630733454</v>
      </c>
      <c r="AL37" s="71">
        <f t="shared" si="10"/>
        <v>80.38414634146342</v>
      </c>
      <c r="AM37" s="39">
        <v>29</v>
      </c>
      <c r="AN37" s="97" t="s">
        <v>45</v>
      </c>
      <c r="AO37" s="72">
        <v>29521</v>
      </c>
      <c r="AP37" s="72">
        <v>32800</v>
      </c>
      <c r="AQ37" s="72">
        <v>36408</v>
      </c>
      <c r="AR37" s="72">
        <v>31510</v>
      </c>
      <c r="AS37" s="72">
        <v>33117</v>
      </c>
      <c r="AT37" s="72">
        <v>14072</v>
      </c>
      <c r="AU37" s="72">
        <v>15732</v>
      </c>
      <c r="AV37" s="72">
        <v>18240</v>
      </c>
      <c r="AW37" s="72">
        <v>15396</v>
      </c>
      <c r="AX37" s="72">
        <v>17090</v>
      </c>
      <c r="AY37" s="78">
        <f t="shared" si="21"/>
        <v>111.00285788516497</v>
      </c>
      <c r="AZ37" s="71">
        <f t="shared" si="22"/>
        <v>108.6320874650394</v>
      </c>
      <c r="BA37" s="78">
        <v>50</v>
      </c>
      <c r="BB37" s="72">
        <f t="shared" si="23"/>
        <v>51.60491590421837</v>
      </c>
      <c r="BC37" s="72">
        <f t="shared" si="24"/>
        <v>1.6049159042183732</v>
      </c>
      <c r="BD37" s="71">
        <f t="shared" si="11"/>
        <v>47.96341463414634</v>
      </c>
      <c r="CK37" s="42">
        <v>25465</v>
      </c>
      <c r="CL37" s="42">
        <v>26580</v>
      </c>
      <c r="CM37" s="42">
        <v>26000</v>
      </c>
      <c r="CN37" s="42">
        <v>28407</v>
      </c>
      <c r="CO37" s="42">
        <v>31896</v>
      </c>
    </row>
    <row r="38" spans="1:93" ht="21" customHeight="1">
      <c r="A38" s="62"/>
      <c r="B38" s="67" t="s">
        <v>102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8"/>
      <c r="N38" s="77"/>
      <c r="O38" s="77"/>
      <c r="P38" s="77"/>
      <c r="Q38" s="77"/>
      <c r="R38" s="71"/>
      <c r="U38" s="39"/>
      <c r="V38" s="67" t="s">
        <v>102</v>
      </c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8"/>
      <c r="AH38" s="71"/>
      <c r="AI38" s="77"/>
      <c r="AJ38" s="77"/>
      <c r="AK38" s="77"/>
      <c r="AL38" s="71"/>
      <c r="AM38" s="39"/>
      <c r="AN38" s="96" t="s">
        <v>102</v>
      </c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8"/>
      <c r="AZ38" s="71"/>
      <c r="BA38" s="77"/>
      <c r="BB38" s="77"/>
      <c r="BC38" s="77"/>
      <c r="BD38" s="71"/>
      <c r="CK38" s="41"/>
      <c r="CL38" s="41"/>
      <c r="CM38" s="41"/>
      <c r="CN38" s="41"/>
      <c r="CO38" s="41"/>
    </row>
    <row r="39" spans="1:93" ht="18.75">
      <c r="A39" s="62" t="s">
        <v>104</v>
      </c>
      <c r="B39" s="66" t="s">
        <v>46</v>
      </c>
      <c r="C39" s="72">
        <v>11235</v>
      </c>
      <c r="D39" s="72">
        <v>13823</v>
      </c>
      <c r="E39" s="72">
        <v>14887</v>
      </c>
      <c r="F39" s="72">
        <v>13823</v>
      </c>
      <c r="G39" s="72">
        <v>14887</v>
      </c>
      <c r="H39" s="72">
        <v>16308</v>
      </c>
      <c r="I39" s="72">
        <v>21377</v>
      </c>
      <c r="J39" s="72">
        <v>24014</v>
      </c>
      <c r="K39" s="72">
        <v>15589</v>
      </c>
      <c r="L39" s="72">
        <v>19986</v>
      </c>
      <c r="M39" s="78">
        <f t="shared" si="15"/>
        <v>128.2057861312464</v>
      </c>
      <c r="N39" s="77">
        <f aca="true" t="shared" si="27" ref="N39:N45">L39/I39*100</f>
        <v>93.49300650231557</v>
      </c>
      <c r="O39" s="78">
        <v>129</v>
      </c>
      <c r="P39" s="78">
        <f>L39/G39*100</f>
        <v>134.25136024719555</v>
      </c>
      <c r="Q39" s="78">
        <f>P39-O39</f>
        <v>5.251360247195549</v>
      </c>
      <c r="R39" s="71">
        <f t="shared" si="9"/>
        <v>154.6480503508645</v>
      </c>
      <c r="U39" s="39" t="s">
        <v>104</v>
      </c>
      <c r="V39" s="66" t="s">
        <v>46</v>
      </c>
      <c r="W39" s="72">
        <v>11235</v>
      </c>
      <c r="X39" s="72">
        <v>13823</v>
      </c>
      <c r="Y39" s="72">
        <v>14887</v>
      </c>
      <c r="Z39" s="72">
        <v>13823</v>
      </c>
      <c r="AA39" s="72">
        <v>14887</v>
      </c>
      <c r="AB39" s="72">
        <v>9575</v>
      </c>
      <c r="AC39" s="72">
        <v>12049</v>
      </c>
      <c r="AD39" s="72">
        <v>14186</v>
      </c>
      <c r="AE39" s="72">
        <v>9656</v>
      </c>
      <c r="AF39" s="72">
        <v>13578</v>
      </c>
      <c r="AG39" s="78">
        <f aca="true" t="shared" si="28" ref="AG39:AG45">AF39/AE39*100</f>
        <v>140.6172328086164</v>
      </c>
      <c r="AH39" s="71">
        <f aca="true" t="shared" si="29" ref="AH39:AH45">AF39/AC39*100</f>
        <v>112.68984978006473</v>
      </c>
      <c r="AI39" s="78">
        <v>75</v>
      </c>
      <c r="AJ39" s="78">
        <f aca="true" t="shared" si="30" ref="AJ39:AJ45">AF39/AA39*100</f>
        <v>91.20709343722712</v>
      </c>
      <c r="AK39" s="78">
        <f aca="true" t="shared" si="31" ref="AK39:AK44">AJ39-AI39</f>
        <v>16.207093437227115</v>
      </c>
      <c r="AL39" s="71">
        <f t="shared" si="10"/>
        <v>87.16631700788541</v>
      </c>
      <c r="AM39" s="39" t="s">
        <v>104</v>
      </c>
      <c r="AN39" s="97" t="s">
        <v>46</v>
      </c>
      <c r="AO39" s="72">
        <v>11235</v>
      </c>
      <c r="AP39" s="72">
        <v>13823</v>
      </c>
      <c r="AQ39" s="72">
        <v>14887</v>
      </c>
      <c r="AR39" s="72">
        <v>13823</v>
      </c>
      <c r="AS39" s="72">
        <v>14887</v>
      </c>
      <c r="AT39" s="72">
        <v>5896</v>
      </c>
      <c r="AU39" s="72">
        <v>6406</v>
      </c>
      <c r="AV39" s="72">
        <v>7910</v>
      </c>
      <c r="AW39" s="72">
        <v>5818</v>
      </c>
      <c r="AX39" s="72">
        <v>7828</v>
      </c>
      <c r="AY39" s="78">
        <f aca="true" t="shared" si="32" ref="AY39:AY45">AX39/AW39*100</f>
        <v>134.54795462358197</v>
      </c>
      <c r="AZ39" s="71">
        <f aca="true" t="shared" si="33" ref="AZ39:AZ45">AX39/AU39*100</f>
        <v>122.1979394317827</v>
      </c>
      <c r="BA39" s="78">
        <v>50</v>
      </c>
      <c r="BB39" s="72">
        <f aca="true" t="shared" si="34" ref="BB39:BB44">AX39/AS39*100</f>
        <v>52.58279035400013</v>
      </c>
      <c r="BC39" s="72">
        <f aca="true" t="shared" si="35" ref="BC39:BC44">BB39-BA39</f>
        <v>2.5827903540001316</v>
      </c>
      <c r="BD39" s="71">
        <f t="shared" si="11"/>
        <v>46.343051436012445</v>
      </c>
      <c r="CK39" s="42">
        <v>9882</v>
      </c>
      <c r="CL39" s="42">
        <v>12268</v>
      </c>
      <c r="CM39" s="42">
        <v>9811</v>
      </c>
      <c r="CN39" s="42">
        <v>13063</v>
      </c>
      <c r="CO39" s="42">
        <v>14139</v>
      </c>
    </row>
    <row r="40" spans="1:93" s="69" customFormat="1" ht="18.75">
      <c r="A40" s="130">
        <v>31</v>
      </c>
      <c r="B40" s="131" t="s">
        <v>47</v>
      </c>
      <c r="C40" s="78">
        <v>14473</v>
      </c>
      <c r="D40" s="144">
        <v>17646</v>
      </c>
      <c r="E40" s="77"/>
      <c r="F40" s="77"/>
      <c r="G40" s="77"/>
      <c r="H40" s="78">
        <v>12324</v>
      </c>
      <c r="I40" s="144">
        <v>13111</v>
      </c>
      <c r="J40" s="78">
        <v>25100</v>
      </c>
      <c r="K40" s="78">
        <v>12324.3</v>
      </c>
      <c r="L40" s="78">
        <v>13111</v>
      </c>
      <c r="M40" s="78">
        <f t="shared" si="15"/>
        <v>106.38332400217456</v>
      </c>
      <c r="N40" s="77">
        <f t="shared" si="27"/>
        <v>100</v>
      </c>
      <c r="O40" s="77">
        <v>129</v>
      </c>
      <c r="P40" s="78"/>
      <c r="Q40" s="78"/>
      <c r="R40" s="77">
        <f t="shared" si="9"/>
        <v>74.30012467414711</v>
      </c>
      <c r="S40" s="134"/>
      <c r="U40" s="135">
        <v>31</v>
      </c>
      <c r="V40" s="131" t="s">
        <v>47</v>
      </c>
      <c r="W40" s="78">
        <v>14473</v>
      </c>
      <c r="X40" s="144">
        <v>17646</v>
      </c>
      <c r="Y40" s="77"/>
      <c r="Z40" s="77"/>
      <c r="AA40" s="77"/>
      <c r="AB40" s="78">
        <v>9415</v>
      </c>
      <c r="AC40" s="78">
        <v>10017</v>
      </c>
      <c r="AD40" s="78">
        <v>14630</v>
      </c>
      <c r="AE40" s="78">
        <v>9415</v>
      </c>
      <c r="AF40" s="78">
        <v>10017</v>
      </c>
      <c r="AG40" s="78">
        <f t="shared" si="28"/>
        <v>106.39405204460965</v>
      </c>
      <c r="AH40" s="71">
        <f t="shared" si="29"/>
        <v>100</v>
      </c>
      <c r="AI40" s="77">
        <v>75</v>
      </c>
      <c r="AJ40" s="78"/>
      <c r="AK40" s="78"/>
      <c r="AL40" s="77">
        <f t="shared" si="10"/>
        <v>56.76640598435906</v>
      </c>
      <c r="AM40" s="135">
        <v>31</v>
      </c>
      <c r="AN40" s="136" t="s">
        <v>47</v>
      </c>
      <c r="AO40" s="78">
        <v>14473</v>
      </c>
      <c r="AP40" s="144">
        <v>17646</v>
      </c>
      <c r="AQ40" s="77"/>
      <c r="AR40" s="77"/>
      <c r="AS40" s="77"/>
      <c r="AT40" s="78">
        <v>6699</v>
      </c>
      <c r="AU40" s="144">
        <v>7127</v>
      </c>
      <c r="AV40" s="78">
        <v>9695</v>
      </c>
      <c r="AW40" s="78">
        <v>6699</v>
      </c>
      <c r="AX40" s="78">
        <v>7127</v>
      </c>
      <c r="AY40" s="78">
        <f t="shared" si="32"/>
        <v>106.389013285565</v>
      </c>
      <c r="AZ40" s="71">
        <f t="shared" si="33"/>
        <v>100</v>
      </c>
      <c r="BA40" s="77">
        <v>50</v>
      </c>
      <c r="BB40" s="78"/>
      <c r="BC40" s="78"/>
      <c r="BD40" s="77">
        <f t="shared" si="11"/>
        <v>40.38875665873285</v>
      </c>
      <c r="BE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K40" s="145">
        <v>11892</v>
      </c>
      <c r="CL40" s="146">
        <v>12605</v>
      </c>
      <c r="CM40" s="147">
        <v>11892</v>
      </c>
      <c r="CN40" s="148">
        <v>12605</v>
      </c>
      <c r="CO40" s="147">
        <v>13361.9</v>
      </c>
    </row>
    <row r="41" spans="1:93" ht="18.75">
      <c r="A41" s="62">
        <v>32</v>
      </c>
      <c r="B41" s="66" t="s">
        <v>48</v>
      </c>
      <c r="C41" s="72">
        <v>13012</v>
      </c>
      <c r="D41" s="72">
        <v>16315</v>
      </c>
      <c r="E41" s="72">
        <v>17610</v>
      </c>
      <c r="F41" s="72">
        <v>16315</v>
      </c>
      <c r="G41" s="72">
        <v>17610</v>
      </c>
      <c r="H41" s="72">
        <v>13630</v>
      </c>
      <c r="I41" s="72">
        <v>18930</v>
      </c>
      <c r="J41" s="72">
        <v>22840</v>
      </c>
      <c r="K41" s="88">
        <v>14577</v>
      </c>
      <c r="L41" s="72">
        <v>17903</v>
      </c>
      <c r="M41" s="78">
        <f>L41/K41*100</f>
        <v>122.81676613843726</v>
      </c>
      <c r="N41" s="77">
        <f t="shared" si="27"/>
        <v>94.57474907554146</v>
      </c>
      <c r="O41" s="78">
        <v>129</v>
      </c>
      <c r="P41" s="78">
        <f>L41/G41*100</f>
        <v>101.66382737081203</v>
      </c>
      <c r="Q41" s="78">
        <f>P41-O41</f>
        <v>-27.33617262918797</v>
      </c>
      <c r="R41" s="71">
        <f t="shared" si="9"/>
        <v>116.02819491265706</v>
      </c>
      <c r="U41" s="39">
        <v>32</v>
      </c>
      <c r="V41" s="66" t="s">
        <v>48</v>
      </c>
      <c r="W41" s="72">
        <v>13012</v>
      </c>
      <c r="X41" s="72">
        <v>16315</v>
      </c>
      <c r="Y41" s="72">
        <v>17610</v>
      </c>
      <c r="Z41" s="72">
        <v>16315</v>
      </c>
      <c r="AA41" s="72">
        <v>17610</v>
      </c>
      <c r="AB41" s="72">
        <v>8910</v>
      </c>
      <c r="AC41" s="72">
        <v>10780</v>
      </c>
      <c r="AD41" s="72">
        <v>13310</v>
      </c>
      <c r="AE41" s="72">
        <v>8549</v>
      </c>
      <c r="AF41" s="72">
        <v>11024</v>
      </c>
      <c r="AG41" s="78">
        <f t="shared" si="28"/>
        <v>128.9507544742075</v>
      </c>
      <c r="AH41" s="71">
        <f t="shared" si="29"/>
        <v>102.2634508348794</v>
      </c>
      <c r="AI41" s="78">
        <v>75</v>
      </c>
      <c r="AJ41" s="78">
        <f t="shared" si="30"/>
        <v>62.60079500283929</v>
      </c>
      <c r="AK41" s="78">
        <f t="shared" si="31"/>
        <v>-12.399204997160709</v>
      </c>
      <c r="AL41" s="71">
        <f t="shared" si="10"/>
        <v>66.07416487894575</v>
      </c>
      <c r="AM41" s="39">
        <v>32</v>
      </c>
      <c r="AN41" s="97" t="s">
        <v>48</v>
      </c>
      <c r="AO41" s="72">
        <v>13012</v>
      </c>
      <c r="AP41" s="72">
        <v>16315</v>
      </c>
      <c r="AQ41" s="72">
        <v>17610</v>
      </c>
      <c r="AR41" s="72">
        <v>16315</v>
      </c>
      <c r="AS41" s="72">
        <v>17610</v>
      </c>
      <c r="AT41" s="72">
        <v>5770</v>
      </c>
      <c r="AU41" s="72">
        <v>6720</v>
      </c>
      <c r="AV41" s="72">
        <v>8820</v>
      </c>
      <c r="AW41" s="72">
        <v>6132</v>
      </c>
      <c r="AX41" s="72">
        <v>8354</v>
      </c>
      <c r="AY41" s="78">
        <f t="shared" si="32"/>
        <v>136.23613829093281</v>
      </c>
      <c r="AZ41" s="77">
        <f t="shared" si="33"/>
        <v>124.31547619047618</v>
      </c>
      <c r="BA41" s="78">
        <v>50</v>
      </c>
      <c r="BB41" s="78">
        <f t="shared" si="34"/>
        <v>47.4389551391255</v>
      </c>
      <c r="BC41" s="78">
        <f t="shared" si="35"/>
        <v>-2.561044860874503</v>
      </c>
      <c r="BD41" s="71">
        <f t="shared" si="11"/>
        <v>41.18908979466748</v>
      </c>
      <c r="CK41" s="42">
        <v>9920</v>
      </c>
      <c r="CL41" s="42">
        <v>11188</v>
      </c>
      <c r="CM41" s="42">
        <v>9384</v>
      </c>
      <c r="CN41" s="42">
        <v>12113</v>
      </c>
      <c r="CO41" s="42">
        <v>14990</v>
      </c>
    </row>
    <row r="42" spans="1:93" ht="18.75">
      <c r="A42" s="62">
        <v>33</v>
      </c>
      <c r="B42" s="66" t="s">
        <v>49</v>
      </c>
      <c r="C42" s="71">
        <v>12446</v>
      </c>
      <c r="D42" s="71">
        <v>15303</v>
      </c>
      <c r="E42" s="71">
        <v>17139</v>
      </c>
      <c r="F42" s="71">
        <v>14162.1</v>
      </c>
      <c r="G42" s="71">
        <v>16128.3</v>
      </c>
      <c r="H42" s="71">
        <v>11938</v>
      </c>
      <c r="I42" s="71">
        <v>18827</v>
      </c>
      <c r="J42" s="71">
        <v>22229</v>
      </c>
      <c r="K42" s="71">
        <v>16507.6</v>
      </c>
      <c r="L42" s="71">
        <v>19247</v>
      </c>
      <c r="M42" s="78">
        <f>L42/K42*100</f>
        <v>116.59478058591195</v>
      </c>
      <c r="N42" s="77">
        <f t="shared" si="27"/>
        <v>102.2308386891167</v>
      </c>
      <c r="O42" s="77">
        <v>129</v>
      </c>
      <c r="P42" s="78">
        <f>L42/G42*100</f>
        <v>119.33681789153228</v>
      </c>
      <c r="Q42" s="78">
        <f>P42-O42</f>
        <v>-9.663182108467723</v>
      </c>
      <c r="R42" s="71">
        <f t="shared" si="9"/>
        <v>123.02816441220676</v>
      </c>
      <c r="U42" s="39">
        <v>33</v>
      </c>
      <c r="V42" s="66" t="s">
        <v>49</v>
      </c>
      <c r="W42" s="71">
        <v>12446</v>
      </c>
      <c r="X42" s="71">
        <v>15303</v>
      </c>
      <c r="Y42" s="71">
        <v>17139</v>
      </c>
      <c r="Z42" s="71">
        <v>14162.1</v>
      </c>
      <c r="AA42" s="71">
        <v>16128.3</v>
      </c>
      <c r="AB42" s="71">
        <v>7653</v>
      </c>
      <c r="AC42" s="71">
        <v>10562</v>
      </c>
      <c r="AD42" s="71">
        <v>12957</v>
      </c>
      <c r="AE42" s="71">
        <v>9152.4</v>
      </c>
      <c r="AF42" s="71">
        <v>10554</v>
      </c>
      <c r="AG42" s="78">
        <f t="shared" si="28"/>
        <v>115.31401599580437</v>
      </c>
      <c r="AH42" s="71">
        <f t="shared" si="29"/>
        <v>99.92425676955122</v>
      </c>
      <c r="AI42" s="77">
        <v>75</v>
      </c>
      <c r="AJ42" s="78">
        <f t="shared" si="30"/>
        <v>65.43777087479772</v>
      </c>
      <c r="AK42" s="78">
        <f t="shared" si="31"/>
        <v>-9.562229125202279</v>
      </c>
      <c r="AL42" s="71">
        <f t="shared" si="10"/>
        <v>69.01914657256746</v>
      </c>
      <c r="AM42" s="39">
        <v>33</v>
      </c>
      <c r="AN42" s="97" t="s">
        <v>49</v>
      </c>
      <c r="AO42" s="71">
        <v>12446</v>
      </c>
      <c r="AP42" s="71">
        <v>15303</v>
      </c>
      <c r="AQ42" s="71">
        <v>17139</v>
      </c>
      <c r="AR42" s="71">
        <v>14162.1</v>
      </c>
      <c r="AS42" s="71">
        <v>16128.3</v>
      </c>
      <c r="AT42" s="71">
        <v>5265</v>
      </c>
      <c r="AU42" s="71">
        <v>6962</v>
      </c>
      <c r="AV42" s="71">
        <v>8587</v>
      </c>
      <c r="AW42" s="71">
        <v>7353.2</v>
      </c>
      <c r="AX42" s="71">
        <v>7748</v>
      </c>
      <c r="AY42" s="78">
        <f t="shared" si="32"/>
        <v>105.36909100799652</v>
      </c>
      <c r="AZ42" s="77">
        <f t="shared" si="33"/>
        <v>111.28985923585178</v>
      </c>
      <c r="BA42" s="77">
        <v>50</v>
      </c>
      <c r="BB42" s="78">
        <f t="shared" si="34"/>
        <v>48.03978100605767</v>
      </c>
      <c r="BC42" s="78">
        <f t="shared" si="35"/>
        <v>-1.960218993942327</v>
      </c>
      <c r="BD42" s="71">
        <f t="shared" si="11"/>
        <v>45.49434751355943</v>
      </c>
      <c r="CK42" s="41">
        <v>10442.4</v>
      </c>
      <c r="CL42" s="41">
        <v>11341</v>
      </c>
      <c r="CM42" s="41">
        <v>11058.7</v>
      </c>
      <c r="CN42" s="41">
        <v>11643</v>
      </c>
      <c r="CO42" s="41">
        <v>13937</v>
      </c>
    </row>
    <row r="43" spans="1:93" ht="18.75">
      <c r="A43" s="62">
        <v>34</v>
      </c>
      <c r="B43" s="66" t="s">
        <v>50</v>
      </c>
      <c r="C43" s="71">
        <v>13376</v>
      </c>
      <c r="D43" s="71">
        <v>15800</v>
      </c>
      <c r="E43" s="71">
        <v>17222</v>
      </c>
      <c r="F43" s="71">
        <v>15800</v>
      </c>
      <c r="G43" s="71">
        <v>17222</v>
      </c>
      <c r="H43" s="71">
        <v>12223.6</v>
      </c>
      <c r="I43" s="71">
        <v>14219.8</v>
      </c>
      <c r="J43" s="71">
        <v>22337</v>
      </c>
      <c r="K43" s="71">
        <v>13241</v>
      </c>
      <c r="L43" s="71">
        <v>17488.7</v>
      </c>
      <c r="M43" s="78">
        <f>L43/K43*100</f>
        <v>132.07990333056415</v>
      </c>
      <c r="N43" s="77">
        <f t="shared" si="27"/>
        <v>122.98836833148145</v>
      </c>
      <c r="O43" s="77">
        <v>129</v>
      </c>
      <c r="P43" s="78">
        <f>L43/G43*100</f>
        <v>101.54860062710486</v>
      </c>
      <c r="Q43" s="78">
        <f>P43-O43</f>
        <v>-27.45139937289514</v>
      </c>
      <c r="R43" s="71">
        <f t="shared" si="9"/>
        <v>89.99873417721518</v>
      </c>
      <c r="U43" s="39">
        <v>34</v>
      </c>
      <c r="V43" s="66" t="s">
        <v>50</v>
      </c>
      <c r="W43" s="71">
        <v>13376</v>
      </c>
      <c r="X43" s="71">
        <v>15800</v>
      </c>
      <c r="Y43" s="71">
        <v>17222</v>
      </c>
      <c r="Z43" s="71">
        <v>15800</v>
      </c>
      <c r="AA43" s="71">
        <v>17222</v>
      </c>
      <c r="AB43" s="71">
        <v>8505.8</v>
      </c>
      <c r="AC43" s="71">
        <v>6514</v>
      </c>
      <c r="AD43" s="71">
        <v>13020</v>
      </c>
      <c r="AE43" s="71">
        <v>9514</v>
      </c>
      <c r="AF43" s="71">
        <v>12563</v>
      </c>
      <c r="AG43" s="78">
        <f t="shared" si="28"/>
        <v>132.04750893420223</v>
      </c>
      <c r="AH43" s="71">
        <f t="shared" si="29"/>
        <v>192.86152901443046</v>
      </c>
      <c r="AI43" s="77">
        <v>75</v>
      </c>
      <c r="AJ43" s="78">
        <f t="shared" si="30"/>
        <v>72.94739286958541</v>
      </c>
      <c r="AK43" s="78">
        <f t="shared" si="31"/>
        <v>-2.052607130414586</v>
      </c>
      <c r="AL43" s="71">
        <f t="shared" si="10"/>
        <v>41.22784810126582</v>
      </c>
      <c r="AM43" s="39">
        <v>34</v>
      </c>
      <c r="AN43" s="97" t="s">
        <v>50</v>
      </c>
      <c r="AO43" s="71">
        <v>13376</v>
      </c>
      <c r="AP43" s="71">
        <v>15800</v>
      </c>
      <c r="AQ43" s="71">
        <v>17222</v>
      </c>
      <c r="AR43" s="71">
        <v>15800</v>
      </c>
      <c r="AS43" s="71">
        <v>17222</v>
      </c>
      <c r="AT43" s="71">
        <v>5562</v>
      </c>
      <c r="AU43" s="71">
        <v>5835.8</v>
      </c>
      <c r="AV43" s="71">
        <v>8628</v>
      </c>
      <c r="AW43" s="71">
        <v>5708</v>
      </c>
      <c r="AX43" s="71">
        <v>7610.3</v>
      </c>
      <c r="AY43" s="78">
        <f t="shared" si="32"/>
        <v>133.3269096005606</v>
      </c>
      <c r="AZ43" s="77">
        <f t="shared" si="33"/>
        <v>130.40714212275952</v>
      </c>
      <c r="BA43" s="77">
        <v>50</v>
      </c>
      <c r="BB43" s="78">
        <f t="shared" si="34"/>
        <v>44.18940889559865</v>
      </c>
      <c r="BC43" s="78">
        <f t="shared" si="35"/>
        <v>-5.810591104401347</v>
      </c>
      <c r="BD43" s="71">
        <f t="shared" si="11"/>
        <v>36.935443037974686</v>
      </c>
      <c r="CK43" s="41">
        <v>8707.4</v>
      </c>
      <c r="CL43" s="41">
        <v>9766.1</v>
      </c>
      <c r="CM43" s="41">
        <v>9364</v>
      </c>
      <c r="CN43" s="41">
        <v>12707.6</v>
      </c>
      <c r="CO43" s="41">
        <v>14352</v>
      </c>
    </row>
    <row r="44" spans="1:93" ht="18.75">
      <c r="A44" s="62">
        <v>35</v>
      </c>
      <c r="B44" s="66" t="s">
        <v>51</v>
      </c>
      <c r="C44" s="71">
        <v>14651</v>
      </c>
      <c r="D44" s="71">
        <v>16223</v>
      </c>
      <c r="E44" s="71">
        <v>18096</v>
      </c>
      <c r="F44" s="71">
        <v>16222.7</v>
      </c>
      <c r="G44" s="71">
        <v>18096</v>
      </c>
      <c r="H44" s="71">
        <v>16621</v>
      </c>
      <c r="I44" s="71">
        <v>19021</v>
      </c>
      <c r="J44" s="71">
        <v>23471</v>
      </c>
      <c r="K44" s="71">
        <v>18445</v>
      </c>
      <c r="L44" s="71">
        <v>18956</v>
      </c>
      <c r="M44" s="78">
        <f>L44/K44*100</f>
        <v>102.77039848197343</v>
      </c>
      <c r="N44" s="77">
        <f t="shared" si="27"/>
        <v>99.65827243572893</v>
      </c>
      <c r="O44" s="77">
        <v>129</v>
      </c>
      <c r="P44" s="78">
        <f>L44/G44*100</f>
        <v>104.75243147656941</v>
      </c>
      <c r="Q44" s="78">
        <f>P44-O44</f>
        <v>-24.247568523430587</v>
      </c>
      <c r="R44" s="71">
        <f t="shared" si="9"/>
        <v>117.24711828884918</v>
      </c>
      <c r="U44" s="39">
        <v>35</v>
      </c>
      <c r="V44" s="66" t="s">
        <v>51</v>
      </c>
      <c r="W44" s="71">
        <v>14651</v>
      </c>
      <c r="X44" s="71">
        <v>16223</v>
      </c>
      <c r="Y44" s="71">
        <v>18096</v>
      </c>
      <c r="Z44" s="71">
        <v>16222.7</v>
      </c>
      <c r="AA44" s="71">
        <v>18096</v>
      </c>
      <c r="AB44" s="71">
        <v>9995</v>
      </c>
      <c r="AC44" s="71">
        <v>10867</v>
      </c>
      <c r="AD44" s="71">
        <v>13681</v>
      </c>
      <c r="AE44" s="71">
        <v>11013</v>
      </c>
      <c r="AF44" s="71">
        <v>11498</v>
      </c>
      <c r="AG44" s="78">
        <f t="shared" si="28"/>
        <v>104.40388631617179</v>
      </c>
      <c r="AH44" s="71">
        <f t="shared" si="29"/>
        <v>105.80657035060274</v>
      </c>
      <c r="AI44" s="77">
        <v>75</v>
      </c>
      <c r="AJ44" s="78">
        <f t="shared" si="30"/>
        <v>63.53890362511052</v>
      </c>
      <c r="AK44" s="78">
        <f t="shared" si="31"/>
        <v>-11.461096374889479</v>
      </c>
      <c r="AL44" s="71">
        <f t="shared" si="10"/>
        <v>66.98514454786414</v>
      </c>
      <c r="AM44" s="39">
        <v>35</v>
      </c>
      <c r="AN44" s="97" t="s">
        <v>51</v>
      </c>
      <c r="AO44" s="71">
        <v>14651</v>
      </c>
      <c r="AP44" s="71">
        <v>16223</v>
      </c>
      <c r="AQ44" s="71">
        <v>18096</v>
      </c>
      <c r="AR44" s="71">
        <v>16222.7</v>
      </c>
      <c r="AS44" s="71">
        <v>18096</v>
      </c>
      <c r="AT44" s="71">
        <v>5595</v>
      </c>
      <c r="AU44" s="71">
        <v>6384</v>
      </c>
      <c r="AV44" s="71">
        <v>9066</v>
      </c>
      <c r="AW44" s="71">
        <v>6377</v>
      </c>
      <c r="AX44" s="71">
        <v>6697</v>
      </c>
      <c r="AY44" s="78">
        <f t="shared" si="32"/>
        <v>105.01803355809942</v>
      </c>
      <c r="AZ44" s="77">
        <f t="shared" si="33"/>
        <v>104.90288220551378</v>
      </c>
      <c r="BA44" s="77">
        <v>50</v>
      </c>
      <c r="BB44" s="78">
        <f t="shared" si="34"/>
        <v>37.008178603006186</v>
      </c>
      <c r="BC44" s="78">
        <f t="shared" si="35"/>
        <v>-12.991821396993814</v>
      </c>
      <c r="BD44" s="71">
        <f t="shared" si="11"/>
        <v>39.35153793996179</v>
      </c>
      <c r="CK44" s="41">
        <v>9742</v>
      </c>
      <c r="CL44" s="41">
        <v>10384</v>
      </c>
      <c r="CM44" s="41">
        <v>10609</v>
      </c>
      <c r="CN44" s="41">
        <v>11167</v>
      </c>
      <c r="CO44" s="41">
        <v>13097</v>
      </c>
    </row>
    <row r="45" spans="1:93" ht="18.75">
      <c r="A45" s="62">
        <v>36</v>
      </c>
      <c r="B45" s="66" t="s">
        <v>52</v>
      </c>
      <c r="C45" s="72">
        <v>15589</v>
      </c>
      <c r="D45" s="72">
        <v>18469.2</v>
      </c>
      <c r="E45" s="72">
        <v>21108</v>
      </c>
      <c r="F45" s="72">
        <v>16515.7</v>
      </c>
      <c r="G45" s="72">
        <v>18120</v>
      </c>
      <c r="H45" s="72">
        <v>19641</v>
      </c>
      <c r="I45" s="72">
        <v>23698</v>
      </c>
      <c r="J45" s="72">
        <v>27377</v>
      </c>
      <c r="K45" s="72">
        <v>19791</v>
      </c>
      <c r="L45" s="72">
        <v>23437</v>
      </c>
      <c r="M45" s="78">
        <f>L45/K45*100</f>
        <v>118.42251528472538</v>
      </c>
      <c r="N45" s="77">
        <f t="shared" si="27"/>
        <v>98.8986412355473</v>
      </c>
      <c r="O45" s="78">
        <v>129</v>
      </c>
      <c r="P45" s="78">
        <f>L45/G45*100</f>
        <v>129.34326710816777</v>
      </c>
      <c r="Q45" s="78">
        <f>P45-O45</f>
        <v>0.3432671081677654</v>
      </c>
      <c r="R45" s="71">
        <f t="shared" si="9"/>
        <v>128.3109176358478</v>
      </c>
      <c r="U45" s="39">
        <v>36</v>
      </c>
      <c r="V45" s="66" t="s">
        <v>52</v>
      </c>
      <c r="W45" s="72">
        <v>15589</v>
      </c>
      <c r="X45" s="72">
        <v>18469.2</v>
      </c>
      <c r="Y45" s="72">
        <v>21108</v>
      </c>
      <c r="Z45" s="72">
        <v>16515.7</v>
      </c>
      <c r="AA45" s="72">
        <v>18120</v>
      </c>
      <c r="AB45" s="72">
        <v>12465</v>
      </c>
      <c r="AC45" s="72">
        <v>13745</v>
      </c>
      <c r="AD45" s="72">
        <v>15958</v>
      </c>
      <c r="AE45" s="72">
        <v>11757</v>
      </c>
      <c r="AF45" s="72">
        <v>13993</v>
      </c>
      <c r="AG45" s="78">
        <f t="shared" si="28"/>
        <v>119.01845708939356</v>
      </c>
      <c r="AH45" s="71">
        <f t="shared" si="29"/>
        <v>101.80429246998908</v>
      </c>
      <c r="AI45" s="78">
        <v>75</v>
      </c>
      <c r="AJ45" s="78">
        <f t="shared" si="30"/>
        <v>77.22406181015452</v>
      </c>
      <c r="AK45" s="78">
        <f>AJ45-AI45</f>
        <v>2.2240618101545238</v>
      </c>
      <c r="AL45" s="71">
        <f t="shared" si="10"/>
        <v>74.42119853594092</v>
      </c>
      <c r="AM45" s="39">
        <v>36</v>
      </c>
      <c r="AN45" s="97" t="s">
        <v>52</v>
      </c>
      <c r="AO45" s="72">
        <v>15589</v>
      </c>
      <c r="AP45" s="72">
        <v>18469.2</v>
      </c>
      <c r="AQ45" s="72">
        <v>21108</v>
      </c>
      <c r="AR45" s="72">
        <v>16515.7</v>
      </c>
      <c r="AS45" s="72" t="s">
        <v>113</v>
      </c>
      <c r="AT45" s="72">
        <v>8021</v>
      </c>
      <c r="AU45" s="72">
        <v>8619</v>
      </c>
      <c r="AV45" s="72">
        <v>10575</v>
      </c>
      <c r="AW45" s="72">
        <v>7737</v>
      </c>
      <c r="AX45" s="72">
        <v>9082</v>
      </c>
      <c r="AY45" s="78">
        <f t="shared" si="32"/>
        <v>117.38399896600748</v>
      </c>
      <c r="AZ45" s="77">
        <f t="shared" si="33"/>
        <v>105.3718528831651</v>
      </c>
      <c r="BA45" s="78">
        <v>50</v>
      </c>
      <c r="BB45" s="78">
        <v>50</v>
      </c>
      <c r="BC45" s="78">
        <v>0</v>
      </c>
      <c r="BD45" s="71">
        <f t="shared" si="11"/>
        <v>46.66688324345397</v>
      </c>
      <c r="CK45" s="40">
        <v>13064</v>
      </c>
      <c r="CL45" s="40">
        <v>14606</v>
      </c>
      <c r="CM45" s="40">
        <v>12613</v>
      </c>
      <c r="CN45" s="40">
        <v>14979</v>
      </c>
      <c r="CO45" s="40">
        <v>16885</v>
      </c>
    </row>
    <row r="46" spans="1:93" ht="18.75">
      <c r="A46" s="62"/>
      <c r="B46" s="65" t="s">
        <v>106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8"/>
      <c r="N46" s="77"/>
      <c r="O46" s="77"/>
      <c r="P46" s="77"/>
      <c r="Q46" s="77"/>
      <c r="R46" s="71"/>
      <c r="U46" s="39"/>
      <c r="V46" s="65" t="s">
        <v>106</v>
      </c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8"/>
      <c r="AH46" s="71"/>
      <c r="AI46" s="77"/>
      <c r="AJ46" s="77"/>
      <c r="AK46" s="77"/>
      <c r="AL46" s="71"/>
      <c r="AM46" s="39"/>
      <c r="AN46" s="96" t="s">
        <v>106</v>
      </c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8"/>
      <c r="AZ46" s="77"/>
      <c r="BA46" s="77"/>
      <c r="BB46" s="77"/>
      <c r="BC46" s="77"/>
      <c r="BD46" s="71"/>
      <c r="CK46" s="41"/>
      <c r="CL46" s="41"/>
      <c r="CM46" s="41"/>
      <c r="CN46" s="41"/>
      <c r="CO46" s="41"/>
    </row>
    <row r="47" spans="1:93" ht="18.75">
      <c r="A47" s="62">
        <v>37</v>
      </c>
      <c r="B47" s="66" t="s">
        <v>53</v>
      </c>
      <c r="C47" s="84">
        <v>14344.9</v>
      </c>
      <c r="D47" s="84">
        <v>16710.6</v>
      </c>
      <c r="E47" s="84">
        <v>18139</v>
      </c>
      <c r="F47" s="122">
        <v>15330.8</v>
      </c>
      <c r="G47" s="84">
        <v>18139</v>
      </c>
      <c r="H47" s="84">
        <v>20946</v>
      </c>
      <c r="I47" s="84">
        <v>22203</v>
      </c>
      <c r="J47" s="84">
        <v>24899.9</v>
      </c>
      <c r="K47" s="122">
        <v>21650.8</v>
      </c>
      <c r="L47" s="84">
        <v>24788.8</v>
      </c>
      <c r="M47" s="78">
        <f aca="true" t="shared" si="36" ref="M47:M52">L47/K47*100</f>
        <v>114.49369076431356</v>
      </c>
      <c r="N47" s="77">
        <f aca="true" t="shared" si="37" ref="N47:N52">L47/I47*100</f>
        <v>111.64617394045851</v>
      </c>
      <c r="O47" s="76">
        <v>129</v>
      </c>
      <c r="P47" s="78">
        <f aca="true" t="shared" si="38" ref="P47:P52">L47/G47*100</f>
        <v>136.66023485307898</v>
      </c>
      <c r="Q47" s="78">
        <f aca="true" t="shared" si="39" ref="Q47:Q52">P47-O47</f>
        <v>7.6602348530789754</v>
      </c>
      <c r="R47" s="71">
        <f t="shared" si="9"/>
        <v>132.86776058310295</v>
      </c>
      <c r="U47" s="39">
        <v>37</v>
      </c>
      <c r="V47" s="66" t="s">
        <v>53</v>
      </c>
      <c r="W47" s="84">
        <v>14344.9</v>
      </c>
      <c r="X47" s="84">
        <v>16710.6</v>
      </c>
      <c r="Y47" s="84">
        <v>18139</v>
      </c>
      <c r="Z47" s="122">
        <v>15330.8</v>
      </c>
      <c r="AA47" s="84">
        <v>18139</v>
      </c>
      <c r="AB47" s="71">
        <v>11333</v>
      </c>
      <c r="AC47" s="84">
        <v>11917.1</v>
      </c>
      <c r="AD47" s="84">
        <v>13713</v>
      </c>
      <c r="AE47" s="122">
        <v>11533.5</v>
      </c>
      <c r="AF47" s="84">
        <v>12984.7</v>
      </c>
      <c r="AG47" s="78">
        <f aca="true" t="shared" si="40" ref="AG47:AG52">AF47/AE47*100</f>
        <v>112.58247713183336</v>
      </c>
      <c r="AH47" s="71">
        <f aca="true" t="shared" si="41" ref="AH47:AH52">AF47/AC47*100</f>
        <v>108.95855535323192</v>
      </c>
      <c r="AI47" s="76">
        <v>75</v>
      </c>
      <c r="AJ47" s="72">
        <f aca="true" t="shared" si="42" ref="AJ47:AJ67">AF47/AA47*100</f>
        <v>71.58443133579581</v>
      </c>
      <c r="AK47" s="72">
        <f aca="true" t="shared" si="43" ref="AK47:AK67">AJ47-AI47</f>
        <v>-3.415568664204187</v>
      </c>
      <c r="AL47" s="71">
        <f t="shared" si="10"/>
        <v>71.31461467571482</v>
      </c>
      <c r="AM47" s="39">
        <v>37</v>
      </c>
      <c r="AN47" s="97" t="s">
        <v>53</v>
      </c>
      <c r="AO47" s="84">
        <v>14344.9</v>
      </c>
      <c r="AP47" s="84">
        <v>16710.6</v>
      </c>
      <c r="AQ47" s="84">
        <v>18139</v>
      </c>
      <c r="AR47" s="122">
        <v>15330.8</v>
      </c>
      <c r="AS47" s="84">
        <v>18139</v>
      </c>
      <c r="AT47" s="84">
        <v>6901.2</v>
      </c>
      <c r="AU47" s="84">
        <v>7853.5</v>
      </c>
      <c r="AV47" s="84">
        <v>9087</v>
      </c>
      <c r="AW47" s="122">
        <v>6996.5</v>
      </c>
      <c r="AX47" s="84">
        <v>8629.5</v>
      </c>
      <c r="AY47" s="78">
        <f aca="true" t="shared" si="44" ref="AY47:AY52">AX47/AW47*100</f>
        <v>123.3402415493461</v>
      </c>
      <c r="AZ47" s="71">
        <f aca="true" t="shared" si="45" ref="AZ47:AZ52">AX47/AU47*100</f>
        <v>109.88094480168078</v>
      </c>
      <c r="BA47" s="76">
        <v>50</v>
      </c>
      <c r="BB47" s="72">
        <f aca="true" t="shared" si="46" ref="BB47:BB67">AX47/AS47*100</f>
        <v>47.57428744693753</v>
      </c>
      <c r="BC47" s="72">
        <f aca="true" t="shared" si="47" ref="BC47:BC67">BB47-BA47</f>
        <v>-2.4257125530624677</v>
      </c>
      <c r="BD47" s="71">
        <f t="shared" si="11"/>
        <v>46.99711560326978</v>
      </c>
      <c r="CK47" s="47">
        <v>11901.9</v>
      </c>
      <c r="CL47" s="47">
        <v>13457.4</v>
      </c>
      <c r="CM47" s="47"/>
      <c r="CN47" s="47">
        <v>13595.1</v>
      </c>
      <c r="CO47" s="47">
        <v>14142.5</v>
      </c>
    </row>
    <row r="48" spans="1:93" ht="18.75">
      <c r="A48" s="62">
        <v>38</v>
      </c>
      <c r="B48" s="66" t="s">
        <v>54</v>
      </c>
      <c r="C48" s="84">
        <v>12559.1</v>
      </c>
      <c r="D48" s="84">
        <v>15156.6</v>
      </c>
      <c r="E48" s="84">
        <v>16829.9</v>
      </c>
      <c r="F48" s="72">
        <v>13443</v>
      </c>
      <c r="G48" s="84">
        <v>15505.1</v>
      </c>
      <c r="H48" s="84">
        <v>20065.8</v>
      </c>
      <c r="I48" s="84">
        <v>23968.4</v>
      </c>
      <c r="J48" s="84">
        <v>28105.9</v>
      </c>
      <c r="K48" s="74">
        <v>20080</v>
      </c>
      <c r="L48" s="84">
        <v>22330.6</v>
      </c>
      <c r="M48" s="78">
        <f t="shared" si="36"/>
        <v>111.20816733067728</v>
      </c>
      <c r="N48" s="77">
        <f t="shared" si="37"/>
        <v>93.16683633450708</v>
      </c>
      <c r="O48" s="76">
        <v>167</v>
      </c>
      <c r="P48" s="78">
        <f t="shared" si="38"/>
        <v>144.02099954208614</v>
      </c>
      <c r="Q48" s="78">
        <f t="shared" si="39"/>
        <v>-22.979000457913855</v>
      </c>
      <c r="R48" s="71">
        <f t="shared" si="9"/>
        <v>158.138368763443</v>
      </c>
      <c r="U48" s="39">
        <v>38</v>
      </c>
      <c r="V48" s="66" t="s">
        <v>54</v>
      </c>
      <c r="W48" s="84">
        <v>12559.1</v>
      </c>
      <c r="X48" s="84">
        <v>15156.6</v>
      </c>
      <c r="Y48" s="84">
        <v>16829.9</v>
      </c>
      <c r="Z48" s="72">
        <v>13443</v>
      </c>
      <c r="AA48" s="84">
        <v>15505.1</v>
      </c>
      <c r="AB48" s="84">
        <v>10135.8</v>
      </c>
      <c r="AC48" s="84">
        <v>12934.1</v>
      </c>
      <c r="AD48" s="84">
        <v>14827.1</v>
      </c>
      <c r="AE48" s="72">
        <v>11855</v>
      </c>
      <c r="AF48" s="84">
        <v>12870.7</v>
      </c>
      <c r="AG48" s="78">
        <f t="shared" si="40"/>
        <v>108.56769295655842</v>
      </c>
      <c r="AH48" s="71">
        <f t="shared" si="41"/>
        <v>99.50982287132464</v>
      </c>
      <c r="AI48" s="76">
        <v>88</v>
      </c>
      <c r="AJ48" s="72">
        <f t="shared" si="42"/>
        <v>83.00946140302223</v>
      </c>
      <c r="AK48" s="72">
        <f t="shared" si="43"/>
        <v>-4.990538596977771</v>
      </c>
      <c r="AL48" s="71">
        <f t="shared" si="10"/>
        <v>85.33642109707982</v>
      </c>
      <c r="AM48" s="39">
        <v>38</v>
      </c>
      <c r="AN48" s="97" t="s">
        <v>54</v>
      </c>
      <c r="AO48" s="84">
        <v>12559.1</v>
      </c>
      <c r="AP48" s="84">
        <v>15156.6</v>
      </c>
      <c r="AQ48" s="84">
        <v>16829.9</v>
      </c>
      <c r="AR48" s="72">
        <v>13443</v>
      </c>
      <c r="AS48" s="84">
        <v>15505.1</v>
      </c>
      <c r="AT48" s="84">
        <v>6431.4</v>
      </c>
      <c r="AU48" s="84">
        <v>7565.4</v>
      </c>
      <c r="AV48" s="84">
        <v>8936.7</v>
      </c>
      <c r="AW48" s="72">
        <v>6752.9</v>
      </c>
      <c r="AX48" s="84">
        <v>7848.3</v>
      </c>
      <c r="AY48" s="78">
        <f t="shared" si="44"/>
        <v>116.22117904900118</v>
      </c>
      <c r="AZ48" s="71">
        <f t="shared" si="45"/>
        <v>103.73939249742247</v>
      </c>
      <c r="BA48" s="76">
        <v>53</v>
      </c>
      <c r="BB48" s="72">
        <f t="shared" si="46"/>
        <v>50.61753874531606</v>
      </c>
      <c r="BC48" s="72">
        <f t="shared" si="47"/>
        <v>-2.382461254683939</v>
      </c>
      <c r="BD48" s="71">
        <f t="shared" si="11"/>
        <v>49.91488856339812</v>
      </c>
      <c r="CK48" s="47">
        <v>10888</v>
      </c>
      <c r="CL48" s="47">
        <v>13435</v>
      </c>
      <c r="CM48" s="53">
        <v>11935.6</v>
      </c>
      <c r="CN48" s="47">
        <v>13454</v>
      </c>
      <c r="CO48" s="47">
        <v>15617</v>
      </c>
    </row>
    <row r="49" spans="1:93" ht="18.75">
      <c r="A49" s="62">
        <v>39</v>
      </c>
      <c r="B49" s="66" t="s">
        <v>55</v>
      </c>
      <c r="C49" s="72">
        <v>18415.5</v>
      </c>
      <c r="D49" s="72">
        <v>21871.5</v>
      </c>
      <c r="E49" s="72">
        <v>24284.6</v>
      </c>
      <c r="F49" s="72">
        <v>18156.8</v>
      </c>
      <c r="G49" s="72">
        <v>21922</v>
      </c>
      <c r="H49" s="74">
        <v>21275.5</v>
      </c>
      <c r="I49" s="74">
        <v>25513.8</v>
      </c>
      <c r="J49" s="74">
        <v>31497.1</v>
      </c>
      <c r="K49" s="74">
        <v>21913</v>
      </c>
      <c r="L49" s="74">
        <v>26302.89</v>
      </c>
      <c r="M49" s="78">
        <f t="shared" si="36"/>
        <v>120.03326792315063</v>
      </c>
      <c r="N49" s="77">
        <f t="shared" si="37"/>
        <v>103.09279683935753</v>
      </c>
      <c r="O49" s="76">
        <v>129</v>
      </c>
      <c r="P49" s="78">
        <f t="shared" si="38"/>
        <v>119.98398868716357</v>
      </c>
      <c r="Q49" s="78">
        <f t="shared" si="39"/>
        <v>-9.016011312836426</v>
      </c>
      <c r="R49" s="71">
        <f t="shared" si="9"/>
        <v>116.65317879432138</v>
      </c>
      <c r="U49" s="39">
        <v>39</v>
      </c>
      <c r="V49" s="66" t="s">
        <v>55</v>
      </c>
      <c r="W49" s="72">
        <v>18415.5</v>
      </c>
      <c r="X49" s="72">
        <v>21871.5</v>
      </c>
      <c r="Y49" s="72">
        <v>24284.6</v>
      </c>
      <c r="Z49" s="72">
        <v>18156.8</v>
      </c>
      <c r="AA49" s="72">
        <v>21922</v>
      </c>
      <c r="AB49" s="72">
        <v>12866.9</v>
      </c>
      <c r="AC49" s="72">
        <v>16327.73</v>
      </c>
      <c r="AD49" s="72">
        <v>18369.2</v>
      </c>
      <c r="AE49" s="72">
        <v>13831</v>
      </c>
      <c r="AF49" s="72">
        <v>17008.05</v>
      </c>
      <c r="AG49" s="78">
        <f t="shared" si="40"/>
        <v>122.9705010483696</v>
      </c>
      <c r="AH49" s="71">
        <f t="shared" si="41"/>
        <v>104.16665390718734</v>
      </c>
      <c r="AI49" s="76">
        <v>75</v>
      </c>
      <c r="AJ49" s="72">
        <f t="shared" si="42"/>
        <v>77.58439011039138</v>
      </c>
      <c r="AK49" s="72">
        <f t="shared" si="43"/>
        <v>2.5843901103913822</v>
      </c>
      <c r="AL49" s="71">
        <f t="shared" si="10"/>
        <v>74.6529959079167</v>
      </c>
      <c r="AM49" s="39">
        <v>39</v>
      </c>
      <c r="AN49" s="97" t="s">
        <v>55</v>
      </c>
      <c r="AO49" s="72">
        <v>18415.5</v>
      </c>
      <c r="AP49" s="72">
        <v>21871.5</v>
      </c>
      <c r="AQ49" s="72">
        <v>24284.6</v>
      </c>
      <c r="AR49" s="72">
        <v>18156.8</v>
      </c>
      <c r="AS49" s="72">
        <v>21922</v>
      </c>
      <c r="AT49" s="72">
        <v>9145</v>
      </c>
      <c r="AU49" s="72">
        <v>11576.04</v>
      </c>
      <c r="AV49" s="72">
        <v>13121</v>
      </c>
      <c r="AW49" s="72">
        <v>10974</v>
      </c>
      <c r="AX49" s="72">
        <v>12058.38</v>
      </c>
      <c r="AY49" s="78">
        <f t="shared" si="44"/>
        <v>109.88135593220338</v>
      </c>
      <c r="AZ49" s="71">
        <f t="shared" si="45"/>
        <v>104.16670985933013</v>
      </c>
      <c r="BA49" s="76">
        <v>54</v>
      </c>
      <c r="BB49" s="72">
        <f t="shared" si="46"/>
        <v>55.005838883313565</v>
      </c>
      <c r="BC49" s="72">
        <f t="shared" si="47"/>
        <v>1.0058388833135652</v>
      </c>
      <c r="BD49" s="71">
        <f t="shared" si="11"/>
        <v>52.92750840134421</v>
      </c>
      <c r="CK49" s="31">
        <v>14472.06</v>
      </c>
      <c r="CL49" s="31">
        <v>17873</v>
      </c>
      <c r="CM49" s="31">
        <v>15485</v>
      </c>
      <c r="CN49" s="47">
        <v>18135</v>
      </c>
      <c r="CO49" s="47">
        <v>20312</v>
      </c>
    </row>
    <row r="50" spans="1:93" ht="18.75">
      <c r="A50" s="62">
        <v>40</v>
      </c>
      <c r="B50" s="66" t="s">
        <v>56</v>
      </c>
      <c r="C50" s="72">
        <v>17023</v>
      </c>
      <c r="D50" s="72">
        <v>18469.9</v>
      </c>
      <c r="E50" s="72">
        <v>20056.7</v>
      </c>
      <c r="F50" s="72">
        <v>18470</v>
      </c>
      <c r="G50" s="72">
        <v>19844.9</v>
      </c>
      <c r="H50" s="74">
        <v>20699</v>
      </c>
      <c r="I50" s="74">
        <v>26403</v>
      </c>
      <c r="J50" s="74">
        <v>26655</v>
      </c>
      <c r="K50" s="84">
        <v>22355</v>
      </c>
      <c r="L50" s="74">
        <v>26324</v>
      </c>
      <c r="M50" s="78">
        <f t="shared" si="36"/>
        <v>117.75441735629613</v>
      </c>
      <c r="N50" s="77">
        <f t="shared" si="37"/>
        <v>99.70079157671476</v>
      </c>
      <c r="O50" s="78">
        <v>131</v>
      </c>
      <c r="P50" s="78">
        <f>L50/G50*100</f>
        <v>132.64869059556864</v>
      </c>
      <c r="Q50" s="78">
        <f t="shared" si="39"/>
        <v>1.6486905955686382</v>
      </c>
      <c r="R50" s="71">
        <f t="shared" si="9"/>
        <v>142.95150488091434</v>
      </c>
      <c r="U50" s="39">
        <v>40</v>
      </c>
      <c r="V50" s="66" t="s">
        <v>56</v>
      </c>
      <c r="W50" s="72">
        <v>17023</v>
      </c>
      <c r="X50" s="72">
        <v>18469.9</v>
      </c>
      <c r="Y50" s="72">
        <v>20056.7</v>
      </c>
      <c r="Z50" s="72">
        <v>18470</v>
      </c>
      <c r="AA50" s="72">
        <v>19844.9</v>
      </c>
      <c r="AB50" s="72">
        <v>10795</v>
      </c>
      <c r="AC50" s="72">
        <v>14151</v>
      </c>
      <c r="AD50" s="72">
        <v>14855</v>
      </c>
      <c r="AE50" s="84">
        <v>11906</v>
      </c>
      <c r="AF50" s="72">
        <v>13917</v>
      </c>
      <c r="AG50" s="78">
        <f t="shared" si="40"/>
        <v>116.8906433730892</v>
      </c>
      <c r="AH50" s="71">
        <f t="shared" si="41"/>
        <v>98.34640661437354</v>
      </c>
      <c r="AI50" s="78">
        <v>74</v>
      </c>
      <c r="AJ50" s="72">
        <f t="shared" si="42"/>
        <v>70.12884922574565</v>
      </c>
      <c r="AK50" s="72">
        <f t="shared" si="43"/>
        <v>-3.871150774254346</v>
      </c>
      <c r="AL50" s="71">
        <f t="shared" si="10"/>
        <v>76.61654908797556</v>
      </c>
      <c r="AM50" s="39">
        <v>40</v>
      </c>
      <c r="AN50" s="97" t="s">
        <v>56</v>
      </c>
      <c r="AO50" s="72">
        <v>17023</v>
      </c>
      <c r="AP50" s="72">
        <v>18469.9</v>
      </c>
      <c r="AQ50" s="72">
        <v>20056.7</v>
      </c>
      <c r="AR50" s="72">
        <v>18470</v>
      </c>
      <c r="AS50" s="72">
        <v>19844.9</v>
      </c>
      <c r="AT50" s="72">
        <v>6732</v>
      </c>
      <c r="AU50" s="72">
        <v>6983</v>
      </c>
      <c r="AV50" s="72">
        <v>8023</v>
      </c>
      <c r="AW50" s="84">
        <v>6649</v>
      </c>
      <c r="AX50" s="72">
        <v>7680</v>
      </c>
      <c r="AY50" s="78">
        <f t="shared" si="44"/>
        <v>115.50609114152503</v>
      </c>
      <c r="AZ50" s="71">
        <f t="shared" si="45"/>
        <v>109.98138335958755</v>
      </c>
      <c r="BA50" s="78">
        <v>40</v>
      </c>
      <c r="BB50" s="72">
        <f t="shared" si="46"/>
        <v>38.70011942614979</v>
      </c>
      <c r="BC50" s="72">
        <f t="shared" si="47"/>
        <v>-1.29988057385021</v>
      </c>
      <c r="BD50" s="71">
        <f t="shared" si="11"/>
        <v>37.80745970470874</v>
      </c>
      <c r="CK50" s="42">
        <v>11736</v>
      </c>
      <c r="CL50" s="42">
        <v>14840</v>
      </c>
      <c r="CM50" s="47">
        <v>12552</v>
      </c>
      <c r="CN50" s="42">
        <v>14772</v>
      </c>
      <c r="CO50" s="42">
        <v>15791</v>
      </c>
    </row>
    <row r="51" spans="1:93" s="69" customFormat="1" ht="18.75">
      <c r="A51" s="130">
        <v>41</v>
      </c>
      <c r="B51" s="131" t="s">
        <v>57</v>
      </c>
      <c r="C51" s="76">
        <v>16192</v>
      </c>
      <c r="D51" s="76">
        <v>19200</v>
      </c>
      <c r="E51" s="76">
        <v>20930</v>
      </c>
      <c r="F51" s="76"/>
      <c r="G51" s="76"/>
      <c r="H51" s="76">
        <v>21552</v>
      </c>
      <c r="I51" s="76">
        <v>28195</v>
      </c>
      <c r="J51" s="76">
        <v>29093</v>
      </c>
      <c r="K51" s="76">
        <v>24851.18</v>
      </c>
      <c r="L51" s="76">
        <v>26152</v>
      </c>
      <c r="M51" s="78">
        <f t="shared" si="36"/>
        <v>105.2344395718835</v>
      </c>
      <c r="N51" s="77">
        <f t="shared" si="37"/>
        <v>92.75403440326299</v>
      </c>
      <c r="O51" s="76">
        <v>139</v>
      </c>
      <c r="P51" s="78"/>
      <c r="Q51" s="78"/>
      <c r="R51" s="77">
        <f t="shared" si="9"/>
        <v>146.84895833333334</v>
      </c>
      <c r="S51" s="134"/>
      <c r="U51" s="135">
        <v>41</v>
      </c>
      <c r="V51" s="131" t="s">
        <v>57</v>
      </c>
      <c r="W51" s="76">
        <v>16192</v>
      </c>
      <c r="X51" s="76">
        <v>19200</v>
      </c>
      <c r="Y51" s="76">
        <v>20930</v>
      </c>
      <c r="Z51" s="76"/>
      <c r="AA51" s="76"/>
      <c r="AB51" s="76">
        <v>12182</v>
      </c>
      <c r="AC51" s="76">
        <v>15237</v>
      </c>
      <c r="AD51" s="76">
        <v>16074</v>
      </c>
      <c r="AE51" s="76">
        <v>14046</v>
      </c>
      <c r="AF51" s="76">
        <v>15103</v>
      </c>
      <c r="AG51" s="78">
        <f t="shared" si="40"/>
        <v>107.52527409938773</v>
      </c>
      <c r="AH51" s="77">
        <f t="shared" si="41"/>
        <v>99.12056179037869</v>
      </c>
      <c r="AI51" s="76">
        <v>76</v>
      </c>
      <c r="AJ51" s="72"/>
      <c r="AK51" s="78"/>
      <c r="AL51" s="77">
        <f t="shared" si="10"/>
        <v>79.359375</v>
      </c>
      <c r="AM51" s="135">
        <v>41</v>
      </c>
      <c r="AN51" s="136" t="s">
        <v>57</v>
      </c>
      <c r="AO51" s="76">
        <v>16192</v>
      </c>
      <c r="AP51" s="76">
        <v>19200</v>
      </c>
      <c r="AQ51" s="76">
        <v>20930</v>
      </c>
      <c r="AR51" s="76"/>
      <c r="AS51" s="76"/>
      <c r="AT51" s="76">
        <v>6784</v>
      </c>
      <c r="AU51" s="76">
        <v>7884</v>
      </c>
      <c r="AV51" s="76">
        <v>10465</v>
      </c>
      <c r="AW51" s="76">
        <v>7321</v>
      </c>
      <c r="AX51" s="76">
        <v>8257</v>
      </c>
      <c r="AY51" s="78">
        <f t="shared" si="44"/>
        <v>112.78513864226198</v>
      </c>
      <c r="AZ51" s="77">
        <f t="shared" si="45"/>
        <v>104.73110096397768</v>
      </c>
      <c r="BA51" s="76">
        <v>50</v>
      </c>
      <c r="BB51" s="72"/>
      <c r="BC51" s="78"/>
      <c r="BD51" s="77">
        <f t="shared" si="11"/>
        <v>41.0625</v>
      </c>
      <c r="BE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K51" s="149">
        <v>13285</v>
      </c>
      <c r="CL51" s="149">
        <v>15810</v>
      </c>
      <c r="CM51" s="149">
        <v>14364</v>
      </c>
      <c r="CN51" s="149">
        <v>15694</v>
      </c>
      <c r="CO51" s="149">
        <v>17063</v>
      </c>
    </row>
    <row r="52" spans="1:93" ht="18.75">
      <c r="A52" s="62">
        <v>42</v>
      </c>
      <c r="B52" s="66" t="s">
        <v>58</v>
      </c>
      <c r="C52" s="84">
        <v>16949.5</v>
      </c>
      <c r="D52" s="84">
        <v>19162.5</v>
      </c>
      <c r="E52" s="84">
        <v>21699.3</v>
      </c>
      <c r="F52" s="84">
        <v>17291.4</v>
      </c>
      <c r="G52" s="84">
        <v>19007.5</v>
      </c>
      <c r="H52" s="84">
        <v>20515</v>
      </c>
      <c r="I52" s="84">
        <v>23312.39</v>
      </c>
      <c r="J52" s="84">
        <v>24153.1</v>
      </c>
      <c r="K52" s="84">
        <v>20979</v>
      </c>
      <c r="L52" s="84">
        <v>22529.35</v>
      </c>
      <c r="M52" s="78">
        <f t="shared" si="36"/>
        <v>107.39000905667571</v>
      </c>
      <c r="N52" s="77">
        <f t="shared" si="37"/>
        <v>96.64109943253352</v>
      </c>
      <c r="O52" s="76">
        <v>111</v>
      </c>
      <c r="P52" s="78">
        <f t="shared" si="38"/>
        <v>118.52873865579376</v>
      </c>
      <c r="Q52" s="78">
        <f t="shared" si="39"/>
        <v>7.5287386557937594</v>
      </c>
      <c r="R52" s="71">
        <f t="shared" si="9"/>
        <v>121.65630789302023</v>
      </c>
      <c r="U52" s="39">
        <v>42</v>
      </c>
      <c r="V52" s="66" t="s">
        <v>58</v>
      </c>
      <c r="W52" s="84">
        <v>16949.5</v>
      </c>
      <c r="X52" s="84">
        <v>19162.5</v>
      </c>
      <c r="Y52" s="84">
        <v>21699.3</v>
      </c>
      <c r="Z52" s="84">
        <v>17291.4</v>
      </c>
      <c r="AA52" s="84">
        <v>19007.5</v>
      </c>
      <c r="AB52" s="84">
        <v>12958</v>
      </c>
      <c r="AC52" s="84">
        <v>14643.53</v>
      </c>
      <c r="AD52" s="84">
        <v>17201.97</v>
      </c>
      <c r="AE52" s="84">
        <v>13840</v>
      </c>
      <c r="AF52" s="84">
        <v>14929.49</v>
      </c>
      <c r="AG52" s="78">
        <f t="shared" si="40"/>
        <v>107.87203757225434</v>
      </c>
      <c r="AH52" s="71">
        <f t="shared" si="41"/>
        <v>101.95280782707448</v>
      </c>
      <c r="AI52" s="76">
        <v>79</v>
      </c>
      <c r="AJ52" s="72">
        <f t="shared" si="42"/>
        <v>78.5452584506116</v>
      </c>
      <c r="AK52" s="72">
        <f t="shared" si="43"/>
        <v>-0.4547415493884017</v>
      </c>
      <c r="AL52" s="71">
        <f t="shared" si="10"/>
        <v>76.41763861709067</v>
      </c>
      <c r="AM52" s="39">
        <v>42</v>
      </c>
      <c r="AN52" s="97" t="s">
        <v>58</v>
      </c>
      <c r="AO52" s="84">
        <v>16949.5</v>
      </c>
      <c r="AP52" s="84">
        <v>19162.5</v>
      </c>
      <c r="AQ52" s="84">
        <v>21699.3</v>
      </c>
      <c r="AR52" s="84">
        <v>17291.4</v>
      </c>
      <c r="AS52" s="84">
        <v>19007.5</v>
      </c>
      <c r="AT52" s="84">
        <v>8035</v>
      </c>
      <c r="AU52" s="84">
        <v>8845</v>
      </c>
      <c r="AV52" s="84">
        <v>10307.17</v>
      </c>
      <c r="AW52" s="84">
        <v>8677</v>
      </c>
      <c r="AX52" s="84">
        <v>9447.3</v>
      </c>
      <c r="AY52" s="78">
        <f t="shared" si="44"/>
        <v>108.87749222081365</v>
      </c>
      <c r="AZ52" s="71">
        <f t="shared" si="45"/>
        <v>106.8094968908988</v>
      </c>
      <c r="BA52" s="76">
        <v>47</v>
      </c>
      <c r="BB52" s="72">
        <f t="shared" si="46"/>
        <v>49.703011968959615</v>
      </c>
      <c r="BC52" s="72">
        <f t="shared" si="47"/>
        <v>2.703011968959615</v>
      </c>
      <c r="BD52" s="71">
        <f t="shared" si="11"/>
        <v>46.157860404435745</v>
      </c>
      <c r="CK52" s="47">
        <v>13006</v>
      </c>
      <c r="CL52" s="47">
        <v>14640</v>
      </c>
      <c r="CM52" s="47">
        <v>13752</v>
      </c>
      <c r="CN52" s="47">
        <v>14892.45</v>
      </c>
      <c r="CO52" s="47">
        <v>16454.69</v>
      </c>
    </row>
    <row r="53" spans="1:93" ht="18.75" customHeight="1">
      <c r="A53" s="62"/>
      <c r="B53" s="67" t="s">
        <v>107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8"/>
      <c r="N53" s="77"/>
      <c r="O53" s="77"/>
      <c r="P53" s="78"/>
      <c r="Q53" s="78"/>
      <c r="R53" s="71"/>
      <c r="U53" s="39"/>
      <c r="V53" s="67" t="s">
        <v>107</v>
      </c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8"/>
      <c r="AH53" s="71"/>
      <c r="AI53" s="77"/>
      <c r="AJ53" s="72"/>
      <c r="AK53" s="72"/>
      <c r="AL53" s="71"/>
      <c r="AM53" s="39"/>
      <c r="AN53" s="96" t="s">
        <v>107</v>
      </c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8"/>
      <c r="AZ53" s="71"/>
      <c r="BA53" s="77"/>
      <c r="BB53" s="72"/>
      <c r="BC53" s="72"/>
      <c r="BD53" s="71"/>
      <c r="CK53" s="41"/>
      <c r="CL53" s="41"/>
      <c r="CM53" s="41"/>
      <c r="CN53" s="41"/>
      <c r="CO53" s="41"/>
    </row>
    <row r="54" spans="1:93" ht="18.75">
      <c r="A54" s="62">
        <v>43</v>
      </c>
      <c r="B54" s="66" t="s">
        <v>59</v>
      </c>
      <c r="C54" s="71">
        <v>18397</v>
      </c>
      <c r="D54" s="71">
        <v>20458.6</v>
      </c>
      <c r="E54" s="71">
        <v>22954</v>
      </c>
      <c r="F54" s="71">
        <v>18280.5</v>
      </c>
      <c r="G54" s="71">
        <v>20662</v>
      </c>
      <c r="H54" s="71">
        <v>26007.7</v>
      </c>
      <c r="I54" s="71">
        <v>31702.35</v>
      </c>
      <c r="J54" s="71">
        <v>33283.3</v>
      </c>
      <c r="K54" s="71">
        <v>24563.84</v>
      </c>
      <c r="L54" s="71">
        <v>33380.9</v>
      </c>
      <c r="M54" s="78">
        <f aca="true" t="shared" si="48" ref="M54:M67">L54/K54*100</f>
        <v>135.89446926864858</v>
      </c>
      <c r="N54" s="77">
        <f aca="true" t="shared" si="49" ref="N54:N67">L54/I54*100</f>
        <v>105.29471789946172</v>
      </c>
      <c r="O54" s="77">
        <v>145</v>
      </c>
      <c r="P54" s="78">
        <f aca="true" t="shared" si="50" ref="P54:P60">L54/G54*100</f>
        <v>161.55696447584938</v>
      </c>
      <c r="Q54" s="78">
        <f aca="true" t="shared" si="51" ref="Q54:Q60">P54-O54</f>
        <v>16.556964475849384</v>
      </c>
      <c r="R54" s="71">
        <f t="shared" si="9"/>
        <v>154.95855043844642</v>
      </c>
      <c r="U54" s="39">
        <v>43</v>
      </c>
      <c r="V54" s="66" t="s">
        <v>59</v>
      </c>
      <c r="W54" s="71">
        <v>18397</v>
      </c>
      <c r="X54" s="71">
        <v>20458.6</v>
      </c>
      <c r="Y54" s="71">
        <v>22954</v>
      </c>
      <c r="Z54" s="71">
        <v>18280.5</v>
      </c>
      <c r="AA54" s="71">
        <v>20662</v>
      </c>
      <c r="AB54" s="71">
        <v>13714.17</v>
      </c>
      <c r="AC54" s="71">
        <v>15492.14</v>
      </c>
      <c r="AD54" s="71">
        <v>18133.66</v>
      </c>
      <c r="AE54" s="71">
        <v>12830.84</v>
      </c>
      <c r="AF54" s="71">
        <v>17201.32</v>
      </c>
      <c r="AG54" s="78">
        <f>AF54/AE54*100</f>
        <v>134.0623061311652</v>
      </c>
      <c r="AH54" s="71">
        <f aca="true" t="shared" si="52" ref="AH54:AH67">AF54/AC54*100</f>
        <v>111.03256231869838</v>
      </c>
      <c r="AI54" s="77">
        <v>79</v>
      </c>
      <c r="AJ54" s="72">
        <f t="shared" si="42"/>
        <v>83.25099215951988</v>
      </c>
      <c r="AK54" s="72">
        <f t="shared" si="43"/>
        <v>4.250992159519882</v>
      </c>
      <c r="AL54" s="71">
        <f t="shared" si="10"/>
        <v>75.72434086398874</v>
      </c>
      <c r="AM54" s="39">
        <v>43</v>
      </c>
      <c r="AN54" s="97" t="s">
        <v>59</v>
      </c>
      <c r="AO54" s="71">
        <v>18397</v>
      </c>
      <c r="AP54" s="71">
        <v>20458.6</v>
      </c>
      <c r="AQ54" s="71">
        <v>22954</v>
      </c>
      <c r="AR54" s="71">
        <v>18280.5</v>
      </c>
      <c r="AS54" s="71">
        <v>20662</v>
      </c>
      <c r="AT54" s="71">
        <v>8210.04</v>
      </c>
      <c r="AU54" s="71">
        <v>8990.09</v>
      </c>
      <c r="AV54" s="71">
        <v>11272.01</v>
      </c>
      <c r="AW54" s="71">
        <v>8182.96</v>
      </c>
      <c r="AX54" s="71">
        <v>10163.83</v>
      </c>
      <c r="AY54" s="78">
        <f>AX54/AW54*100</f>
        <v>124.20725507640267</v>
      </c>
      <c r="AZ54" s="71">
        <f aca="true" t="shared" si="53" ref="AZ54:AZ67">AX54/AU54*100</f>
        <v>113.05593158689177</v>
      </c>
      <c r="BA54" s="77">
        <v>49</v>
      </c>
      <c r="BB54" s="72">
        <f t="shared" si="46"/>
        <v>49.190930210047426</v>
      </c>
      <c r="BC54" s="72">
        <f t="shared" si="47"/>
        <v>0.19093021004742639</v>
      </c>
      <c r="BD54" s="71">
        <f t="shared" si="11"/>
        <v>43.94284066358402</v>
      </c>
      <c r="CK54" s="41">
        <v>14668.91</v>
      </c>
      <c r="CL54" s="41">
        <v>17802.33</v>
      </c>
      <c r="CM54" s="41">
        <v>13891.32</v>
      </c>
      <c r="CN54" s="41">
        <v>18352.1</v>
      </c>
      <c r="CO54" s="41">
        <v>20176</v>
      </c>
    </row>
    <row r="55" spans="1:93" s="69" customFormat="1" ht="18.75">
      <c r="A55" s="130">
        <v>44</v>
      </c>
      <c r="B55" s="131" t="s">
        <v>60</v>
      </c>
      <c r="C55" s="78">
        <v>14001</v>
      </c>
      <c r="D55" s="78">
        <v>16075.4</v>
      </c>
      <c r="E55" s="78">
        <v>17165</v>
      </c>
      <c r="F55" s="77"/>
      <c r="G55" s="78">
        <v>17165</v>
      </c>
      <c r="H55" s="78">
        <v>18593</v>
      </c>
      <c r="I55" s="78">
        <v>22638</v>
      </c>
      <c r="J55" s="78">
        <v>23960</v>
      </c>
      <c r="K55" s="77"/>
      <c r="L55" s="78">
        <v>25334</v>
      </c>
      <c r="M55" s="78"/>
      <c r="N55" s="77">
        <f t="shared" si="49"/>
        <v>111.90917925611802</v>
      </c>
      <c r="O55" s="78">
        <v>139</v>
      </c>
      <c r="P55" s="78">
        <f t="shared" si="50"/>
        <v>147.59102825517041</v>
      </c>
      <c r="Q55" s="78">
        <f t="shared" si="51"/>
        <v>8.591028255170414</v>
      </c>
      <c r="R55" s="77">
        <f t="shared" si="9"/>
        <v>140.82386752429176</v>
      </c>
      <c r="S55" s="134"/>
      <c r="U55" s="135">
        <v>44</v>
      </c>
      <c r="V55" s="131" t="s">
        <v>60</v>
      </c>
      <c r="W55" s="78">
        <v>14001</v>
      </c>
      <c r="X55" s="78">
        <v>16075.4</v>
      </c>
      <c r="Y55" s="78">
        <v>17165</v>
      </c>
      <c r="Z55" s="77"/>
      <c r="AA55" s="78">
        <v>17165</v>
      </c>
      <c r="AB55" s="78">
        <v>9255</v>
      </c>
      <c r="AC55" s="78">
        <v>11143</v>
      </c>
      <c r="AD55" s="78">
        <v>12977</v>
      </c>
      <c r="AE55" s="77"/>
      <c r="AF55" s="78">
        <v>13007</v>
      </c>
      <c r="AG55" s="78"/>
      <c r="AH55" s="77">
        <f t="shared" si="52"/>
        <v>116.72799066678633</v>
      </c>
      <c r="AI55" s="78">
        <v>75</v>
      </c>
      <c r="AJ55" s="78">
        <f t="shared" si="42"/>
        <v>75.77628896009321</v>
      </c>
      <c r="AK55" s="78">
        <f t="shared" si="43"/>
        <v>0.7762889600932112</v>
      </c>
      <c r="AL55" s="77">
        <f t="shared" si="10"/>
        <v>69.317093198303</v>
      </c>
      <c r="AM55" s="135">
        <v>44</v>
      </c>
      <c r="AN55" s="136" t="s">
        <v>60</v>
      </c>
      <c r="AO55" s="78">
        <v>14001</v>
      </c>
      <c r="AP55" s="78">
        <v>16075.4</v>
      </c>
      <c r="AQ55" s="78">
        <v>17165</v>
      </c>
      <c r="AR55" s="77"/>
      <c r="AS55" s="78">
        <v>17165</v>
      </c>
      <c r="AT55" s="78">
        <v>5460</v>
      </c>
      <c r="AU55" s="78">
        <v>5939</v>
      </c>
      <c r="AV55" s="78">
        <v>8600</v>
      </c>
      <c r="AW55" s="77"/>
      <c r="AX55" s="78">
        <v>7254</v>
      </c>
      <c r="AY55" s="78"/>
      <c r="AZ55" s="77">
        <f t="shared" si="53"/>
        <v>122.14177470954706</v>
      </c>
      <c r="BA55" s="77">
        <v>50</v>
      </c>
      <c r="BB55" s="78">
        <f t="shared" si="46"/>
        <v>42.2604136323915</v>
      </c>
      <c r="BC55" s="78">
        <f t="shared" si="47"/>
        <v>-7.739586367608503</v>
      </c>
      <c r="BD55" s="77">
        <f t="shared" si="11"/>
        <v>36.94464834467572</v>
      </c>
      <c r="BE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K55" s="143">
        <v>9516</v>
      </c>
      <c r="CL55" s="143">
        <v>11244</v>
      </c>
      <c r="CM55" s="139"/>
      <c r="CN55" s="143">
        <v>13091</v>
      </c>
      <c r="CO55" s="143">
        <v>12900</v>
      </c>
    </row>
    <row r="56" spans="1:93" ht="18.75">
      <c r="A56" s="62">
        <v>45</v>
      </c>
      <c r="B56" s="66" t="s">
        <v>61</v>
      </c>
      <c r="C56" s="72">
        <v>13305</v>
      </c>
      <c r="D56" s="72">
        <v>15352</v>
      </c>
      <c r="E56" s="72">
        <v>17686</v>
      </c>
      <c r="F56" s="72">
        <v>13601.5</v>
      </c>
      <c r="G56" s="72">
        <v>16069</v>
      </c>
      <c r="H56" s="74">
        <v>18305</v>
      </c>
      <c r="I56" s="74">
        <v>22999</v>
      </c>
      <c r="J56" s="74">
        <v>22999</v>
      </c>
      <c r="K56" s="74">
        <v>18680</v>
      </c>
      <c r="L56" s="74">
        <v>23429</v>
      </c>
      <c r="M56" s="78">
        <f t="shared" si="48"/>
        <v>125.42291220556746</v>
      </c>
      <c r="N56" s="77">
        <f t="shared" si="49"/>
        <v>101.86964650636985</v>
      </c>
      <c r="O56" s="78">
        <v>129</v>
      </c>
      <c r="P56" s="78">
        <f t="shared" si="50"/>
        <v>145.80247681871927</v>
      </c>
      <c r="Q56" s="78">
        <f t="shared" si="51"/>
        <v>16.80247681871927</v>
      </c>
      <c r="R56" s="71">
        <f t="shared" si="9"/>
        <v>149.81109953100574</v>
      </c>
      <c r="U56" s="39">
        <v>45</v>
      </c>
      <c r="V56" s="66" t="s">
        <v>61</v>
      </c>
      <c r="W56" s="72">
        <v>13305</v>
      </c>
      <c r="X56" s="72">
        <v>15352</v>
      </c>
      <c r="Y56" s="72">
        <v>17686</v>
      </c>
      <c r="Z56" s="72">
        <v>13601.5</v>
      </c>
      <c r="AA56" s="72">
        <v>16069</v>
      </c>
      <c r="AB56" s="72">
        <v>9950</v>
      </c>
      <c r="AC56" s="72">
        <v>12371</v>
      </c>
      <c r="AD56" s="72">
        <v>13370.6</v>
      </c>
      <c r="AE56" s="72">
        <v>10824</v>
      </c>
      <c r="AF56" s="72">
        <v>13602</v>
      </c>
      <c r="AG56" s="78">
        <f>AF56/AE56*100</f>
        <v>125.66518847006651</v>
      </c>
      <c r="AH56" s="71">
        <f t="shared" si="52"/>
        <v>109.95069113248728</v>
      </c>
      <c r="AI56" s="78">
        <v>75</v>
      </c>
      <c r="AJ56" s="72">
        <f t="shared" si="42"/>
        <v>84.64745783807331</v>
      </c>
      <c r="AK56" s="72">
        <f t="shared" si="43"/>
        <v>9.647457838073308</v>
      </c>
      <c r="AL56" s="71">
        <f t="shared" si="10"/>
        <v>80.5823345492444</v>
      </c>
      <c r="AM56" s="39">
        <v>45</v>
      </c>
      <c r="AN56" s="97" t="s">
        <v>61</v>
      </c>
      <c r="AO56" s="72">
        <v>13305</v>
      </c>
      <c r="AP56" s="72">
        <v>15352</v>
      </c>
      <c r="AQ56" s="72">
        <v>17686</v>
      </c>
      <c r="AR56" s="72">
        <v>13601.5</v>
      </c>
      <c r="AS56" s="72">
        <v>16069</v>
      </c>
      <c r="AT56" s="72">
        <v>5710</v>
      </c>
      <c r="AU56" s="72">
        <v>6957</v>
      </c>
      <c r="AV56" s="72">
        <v>8860.7</v>
      </c>
      <c r="AW56" s="72">
        <v>6691</v>
      </c>
      <c r="AX56" s="72">
        <v>8604</v>
      </c>
      <c r="AY56" s="78">
        <f>AX56/AW56*100</f>
        <v>128.59064414885668</v>
      </c>
      <c r="AZ56" s="71">
        <f t="shared" si="53"/>
        <v>123.67399741267788</v>
      </c>
      <c r="BA56" s="77">
        <v>50</v>
      </c>
      <c r="BB56" s="72">
        <f t="shared" si="46"/>
        <v>53.544091107100634</v>
      </c>
      <c r="BC56" s="72">
        <f t="shared" si="47"/>
        <v>3.544091107100634</v>
      </c>
      <c r="BD56" s="71">
        <f t="shared" si="11"/>
        <v>45.31657113079729</v>
      </c>
      <c r="CK56" s="31">
        <v>10078.3</v>
      </c>
      <c r="CL56" s="31">
        <v>12524</v>
      </c>
      <c r="CM56" s="31">
        <v>11166</v>
      </c>
      <c r="CN56" s="31">
        <v>14127</v>
      </c>
      <c r="CO56" s="40"/>
    </row>
    <row r="57" spans="1:93" s="69" customFormat="1" ht="18.75">
      <c r="A57" s="130">
        <v>46</v>
      </c>
      <c r="B57" s="131" t="s">
        <v>62</v>
      </c>
      <c r="C57" s="78">
        <v>20009</v>
      </c>
      <c r="D57" s="78">
        <v>23300</v>
      </c>
      <c r="E57" s="78">
        <v>26100</v>
      </c>
      <c r="F57" s="77"/>
      <c r="G57" s="78">
        <v>26100</v>
      </c>
      <c r="H57" s="78">
        <v>17260</v>
      </c>
      <c r="I57" s="78">
        <v>24022</v>
      </c>
      <c r="J57" s="78">
        <v>25839</v>
      </c>
      <c r="K57" s="77"/>
      <c r="L57" s="78">
        <v>27459.5</v>
      </c>
      <c r="M57" s="78"/>
      <c r="N57" s="77">
        <f t="shared" si="49"/>
        <v>114.30979935059528</v>
      </c>
      <c r="O57" s="78">
        <v>99</v>
      </c>
      <c r="P57" s="78">
        <f t="shared" si="50"/>
        <v>105.2088122605364</v>
      </c>
      <c r="Q57" s="78">
        <f t="shared" si="51"/>
        <v>6.208812260536405</v>
      </c>
      <c r="R57" s="77">
        <f t="shared" si="9"/>
        <v>103.09871244635194</v>
      </c>
      <c r="S57" s="134"/>
      <c r="U57" s="135">
        <v>46</v>
      </c>
      <c r="V57" s="131" t="s">
        <v>62</v>
      </c>
      <c r="W57" s="78">
        <v>20009</v>
      </c>
      <c r="X57" s="78">
        <v>23300</v>
      </c>
      <c r="Y57" s="78">
        <v>26100</v>
      </c>
      <c r="Z57" s="77"/>
      <c r="AA57" s="78">
        <v>26100</v>
      </c>
      <c r="AB57" s="78">
        <v>12719</v>
      </c>
      <c r="AC57" s="78">
        <v>15022</v>
      </c>
      <c r="AD57" s="78">
        <v>17748</v>
      </c>
      <c r="AE57" s="77"/>
      <c r="AF57" s="78">
        <v>16777.1</v>
      </c>
      <c r="AG57" s="78"/>
      <c r="AH57" s="77">
        <f t="shared" si="52"/>
        <v>111.68353082146186</v>
      </c>
      <c r="AI57" s="78">
        <v>65</v>
      </c>
      <c r="AJ57" s="78">
        <f t="shared" si="42"/>
        <v>64.28007662835249</v>
      </c>
      <c r="AK57" s="78">
        <f t="shared" si="43"/>
        <v>-0.7199233716475106</v>
      </c>
      <c r="AL57" s="77">
        <f t="shared" si="10"/>
        <v>64.47210300429185</v>
      </c>
      <c r="AM57" s="135">
        <v>46</v>
      </c>
      <c r="AN57" s="136" t="s">
        <v>62</v>
      </c>
      <c r="AO57" s="78">
        <v>20009</v>
      </c>
      <c r="AP57" s="78">
        <v>23300</v>
      </c>
      <c r="AQ57" s="78">
        <v>26100</v>
      </c>
      <c r="AR57" s="77"/>
      <c r="AS57" s="78">
        <v>26100</v>
      </c>
      <c r="AT57" s="78">
        <v>7509</v>
      </c>
      <c r="AU57" s="78">
        <v>8756</v>
      </c>
      <c r="AV57" s="78">
        <v>11745</v>
      </c>
      <c r="AW57" s="77"/>
      <c r="AX57" s="78">
        <v>9664.9</v>
      </c>
      <c r="AY57" s="78"/>
      <c r="AZ57" s="77">
        <f t="shared" si="53"/>
        <v>110.38031064412974</v>
      </c>
      <c r="BA57" s="77">
        <v>45</v>
      </c>
      <c r="BB57" s="78">
        <f t="shared" si="46"/>
        <v>37.03026819923371</v>
      </c>
      <c r="BC57" s="78">
        <f t="shared" si="47"/>
        <v>-7.96973180076629</v>
      </c>
      <c r="BD57" s="77">
        <f t="shared" si="11"/>
        <v>37.5793991416309</v>
      </c>
      <c r="BE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K57" s="143">
        <v>13046</v>
      </c>
      <c r="CL57" s="143">
        <v>15983</v>
      </c>
      <c r="CM57" s="139"/>
      <c r="CN57" s="143">
        <v>17168.4</v>
      </c>
      <c r="CO57" s="143">
        <v>17180.6</v>
      </c>
    </row>
    <row r="58" spans="1:93" s="69" customFormat="1" ht="18.75">
      <c r="A58" s="130">
        <v>47</v>
      </c>
      <c r="B58" s="131" t="s">
        <v>63</v>
      </c>
      <c r="C58" s="78">
        <v>15843</v>
      </c>
      <c r="D58" s="78">
        <v>18400</v>
      </c>
      <c r="E58" s="78">
        <v>20184.8</v>
      </c>
      <c r="F58" s="78"/>
      <c r="G58" s="78">
        <v>19115.2</v>
      </c>
      <c r="H58" s="78">
        <v>18732.6</v>
      </c>
      <c r="I58" s="78">
        <v>20685.3</v>
      </c>
      <c r="J58" s="78">
        <v>26179.7</v>
      </c>
      <c r="K58" s="78">
        <v>22483.5</v>
      </c>
      <c r="L58" s="78">
        <v>23044.162603513658</v>
      </c>
      <c r="M58" s="78">
        <f t="shared" si="48"/>
        <v>102.49366247921212</v>
      </c>
      <c r="N58" s="77">
        <f t="shared" si="49"/>
        <v>111.40356970173823</v>
      </c>
      <c r="O58" s="78">
        <v>129</v>
      </c>
      <c r="P58" s="78">
        <f t="shared" si="50"/>
        <v>120.55412762363804</v>
      </c>
      <c r="Q58" s="78">
        <f t="shared" si="51"/>
        <v>-8.445872376361962</v>
      </c>
      <c r="R58" s="77">
        <f t="shared" si="9"/>
        <v>112.42010869565217</v>
      </c>
      <c r="S58" s="134"/>
      <c r="U58" s="135">
        <v>47</v>
      </c>
      <c r="V58" s="131" t="s">
        <v>63</v>
      </c>
      <c r="W58" s="78">
        <v>15843</v>
      </c>
      <c r="X58" s="78">
        <v>18400</v>
      </c>
      <c r="Y58" s="78">
        <v>20184.8</v>
      </c>
      <c r="Z58" s="78"/>
      <c r="AA58" s="78">
        <v>19115.2</v>
      </c>
      <c r="AB58" s="78">
        <v>10746.9</v>
      </c>
      <c r="AC58" s="78">
        <v>11559.2</v>
      </c>
      <c r="AD58" s="78">
        <v>15259.2</v>
      </c>
      <c r="AE58" s="78">
        <v>12103.1</v>
      </c>
      <c r="AF58" s="78">
        <v>13307.489721862026</v>
      </c>
      <c r="AG58" s="78">
        <f aca="true" t="shared" si="54" ref="AG58:AG67">AF58/AE58*100</f>
        <v>109.9510846135455</v>
      </c>
      <c r="AH58" s="77">
        <f t="shared" si="52"/>
        <v>115.12466020020437</v>
      </c>
      <c r="AI58" s="78">
        <v>75</v>
      </c>
      <c r="AJ58" s="78">
        <f t="shared" si="42"/>
        <v>69.61731879269914</v>
      </c>
      <c r="AK58" s="78">
        <f t="shared" si="43"/>
        <v>-5.3826812073008625</v>
      </c>
      <c r="AL58" s="77">
        <f t="shared" si="10"/>
        <v>62.821739130434786</v>
      </c>
      <c r="AM58" s="135">
        <v>47</v>
      </c>
      <c r="AN58" s="136" t="s">
        <v>63</v>
      </c>
      <c r="AO58" s="78">
        <v>15843</v>
      </c>
      <c r="AP58" s="78">
        <v>18400</v>
      </c>
      <c r="AQ58" s="78">
        <v>20184.8</v>
      </c>
      <c r="AR58" s="78"/>
      <c r="AS58" s="78">
        <v>19115.2</v>
      </c>
      <c r="AT58" s="78">
        <v>6460</v>
      </c>
      <c r="AU58" s="78">
        <v>6766.6</v>
      </c>
      <c r="AV58" s="78">
        <v>10112.6</v>
      </c>
      <c r="AW58" s="78">
        <v>7063.1</v>
      </c>
      <c r="AX58" s="78">
        <v>7744.937021486786</v>
      </c>
      <c r="AY58" s="78">
        <f aca="true" t="shared" si="55" ref="AY58:AY67">AX58/AW58*100</f>
        <v>109.65350938662606</v>
      </c>
      <c r="AZ58" s="77">
        <f t="shared" si="53"/>
        <v>114.45832503010058</v>
      </c>
      <c r="BA58" s="78">
        <v>50</v>
      </c>
      <c r="BB58" s="78">
        <f t="shared" si="46"/>
        <v>40.51716446328987</v>
      </c>
      <c r="BC58" s="78">
        <f t="shared" si="47"/>
        <v>-9.482835536710127</v>
      </c>
      <c r="BD58" s="77">
        <f t="shared" si="11"/>
        <v>36.775000000000006</v>
      </c>
      <c r="BE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K58" s="137">
        <v>10943.4</v>
      </c>
      <c r="CL58" s="137">
        <v>12002.682841976444</v>
      </c>
      <c r="CM58" s="137">
        <v>12711.4</v>
      </c>
      <c r="CN58" s="137">
        <v>13321.521107615028</v>
      </c>
      <c r="CO58" s="137">
        <v>16254.243287193729</v>
      </c>
    </row>
    <row r="59" spans="1:93" ht="18.75">
      <c r="A59" s="62">
        <v>48</v>
      </c>
      <c r="B59" s="66" t="s">
        <v>64</v>
      </c>
      <c r="C59" s="85">
        <v>14896.3</v>
      </c>
      <c r="D59" s="85">
        <v>17225</v>
      </c>
      <c r="E59" s="85">
        <v>19200.2</v>
      </c>
      <c r="F59" s="72">
        <v>15431.7</v>
      </c>
      <c r="G59" s="85">
        <v>17314.4</v>
      </c>
      <c r="H59" s="85">
        <v>20460.422650800163</v>
      </c>
      <c r="I59" s="85">
        <v>23573.898031623103</v>
      </c>
      <c r="J59" s="85">
        <v>27638.5</v>
      </c>
      <c r="K59" s="74">
        <v>21494.39</v>
      </c>
      <c r="L59" s="85">
        <v>25173.4263449694</v>
      </c>
      <c r="M59" s="78">
        <f t="shared" si="48"/>
        <v>117.11626310385827</v>
      </c>
      <c r="N59" s="77">
        <f t="shared" si="49"/>
        <v>106.78516684512938</v>
      </c>
      <c r="O59" s="86">
        <v>129</v>
      </c>
      <c r="P59" s="78">
        <f t="shared" si="50"/>
        <v>145.39011657908677</v>
      </c>
      <c r="Q59" s="78">
        <f t="shared" si="51"/>
        <v>16.390116579086765</v>
      </c>
      <c r="R59" s="71">
        <f t="shared" si="9"/>
        <v>136.85862427647666</v>
      </c>
      <c r="U59" s="39">
        <v>48</v>
      </c>
      <c r="V59" s="66" t="s">
        <v>64</v>
      </c>
      <c r="W59" s="85">
        <v>14896.3</v>
      </c>
      <c r="X59" s="85">
        <v>17225</v>
      </c>
      <c r="Y59" s="85">
        <v>19200.2</v>
      </c>
      <c r="Z59" s="72">
        <v>15431.7</v>
      </c>
      <c r="AA59" s="85">
        <v>17314.4</v>
      </c>
      <c r="AB59" s="85">
        <v>11911.657976510243</v>
      </c>
      <c r="AC59" s="85">
        <v>13540.394344037437</v>
      </c>
      <c r="AD59" s="85">
        <v>14697.1</v>
      </c>
      <c r="AE59" s="72">
        <v>12561.62</v>
      </c>
      <c r="AF59" s="85">
        <v>14512.840637618654</v>
      </c>
      <c r="AG59" s="78">
        <f t="shared" si="54"/>
        <v>115.53319267434179</v>
      </c>
      <c r="AH59" s="71">
        <f t="shared" si="52"/>
        <v>107.18181663600836</v>
      </c>
      <c r="AI59" s="86">
        <v>75</v>
      </c>
      <c r="AJ59" s="72">
        <f t="shared" si="42"/>
        <v>83.81948342199934</v>
      </c>
      <c r="AK59" s="72">
        <f t="shared" si="43"/>
        <v>8.819483421999337</v>
      </c>
      <c r="AL59" s="71">
        <f t="shared" si="10"/>
        <v>78.60896571284434</v>
      </c>
      <c r="AM59" s="39">
        <v>48</v>
      </c>
      <c r="AN59" s="97" t="s">
        <v>64</v>
      </c>
      <c r="AO59" s="85">
        <v>14896.3</v>
      </c>
      <c r="AP59" s="85">
        <v>17225</v>
      </c>
      <c r="AQ59" s="85">
        <v>19200.2</v>
      </c>
      <c r="AR59" s="72">
        <v>15431.7</v>
      </c>
      <c r="AS59" s="85">
        <v>17314.4</v>
      </c>
      <c r="AT59" s="85">
        <v>5636.652944111777</v>
      </c>
      <c r="AU59" s="85">
        <v>6474.966743412638</v>
      </c>
      <c r="AV59" s="85">
        <v>10046.8</v>
      </c>
      <c r="AW59" s="72">
        <v>6138.44</v>
      </c>
      <c r="AX59" s="85">
        <v>8598.186161002983</v>
      </c>
      <c r="AY59" s="78">
        <f t="shared" si="55"/>
        <v>140.07119334884732</v>
      </c>
      <c r="AZ59" s="71">
        <f t="shared" si="53"/>
        <v>132.79120189691199</v>
      </c>
      <c r="BA59" s="78">
        <v>50</v>
      </c>
      <c r="BB59" s="72">
        <f t="shared" si="46"/>
        <v>49.65916324563936</v>
      </c>
      <c r="BC59" s="72">
        <f t="shared" si="47"/>
        <v>-0.34083675436063743</v>
      </c>
      <c r="BD59" s="71">
        <f t="shared" si="11"/>
        <v>37.590518103992096</v>
      </c>
      <c r="CK59" s="48">
        <v>11549.500260733532</v>
      </c>
      <c r="CL59" s="48">
        <v>13436.242131827263</v>
      </c>
      <c r="CM59" s="42">
        <v>12421.73</v>
      </c>
      <c r="CN59" s="48">
        <v>15028.67005986803</v>
      </c>
      <c r="CO59" s="48">
        <v>16727.792420505546</v>
      </c>
    </row>
    <row r="60" spans="1:93" s="69" customFormat="1" ht="18.75">
      <c r="A60" s="130">
        <v>49</v>
      </c>
      <c r="B60" s="131" t="s">
        <v>65</v>
      </c>
      <c r="C60" s="77">
        <v>21192</v>
      </c>
      <c r="D60" s="77">
        <v>21250</v>
      </c>
      <c r="E60" s="77">
        <v>24165</v>
      </c>
      <c r="F60" s="176">
        <v>19488.3</v>
      </c>
      <c r="G60" s="138">
        <v>21473.5</v>
      </c>
      <c r="H60" s="77">
        <v>22725</v>
      </c>
      <c r="I60" s="77">
        <v>27415</v>
      </c>
      <c r="J60" s="77">
        <v>31342</v>
      </c>
      <c r="K60" s="77">
        <v>24090</v>
      </c>
      <c r="L60" s="77">
        <v>29600</v>
      </c>
      <c r="M60" s="78">
        <f t="shared" si="48"/>
        <v>122.8725612287256</v>
      </c>
      <c r="N60" s="77">
        <f t="shared" si="49"/>
        <v>107.97008936713478</v>
      </c>
      <c r="O60" s="77">
        <v>129</v>
      </c>
      <c r="P60" s="78">
        <f t="shared" si="50"/>
        <v>137.84431974293898</v>
      </c>
      <c r="Q60" s="78">
        <f t="shared" si="51"/>
        <v>8.844319742938978</v>
      </c>
      <c r="R60" s="77">
        <f t="shared" si="9"/>
        <v>129.01176470588237</v>
      </c>
      <c r="S60" s="134"/>
      <c r="U60" s="135">
        <v>49</v>
      </c>
      <c r="V60" s="131" t="s">
        <v>65</v>
      </c>
      <c r="W60" s="77">
        <v>21192</v>
      </c>
      <c r="X60" s="77">
        <v>21250</v>
      </c>
      <c r="Y60" s="77">
        <v>24165</v>
      </c>
      <c r="Z60" s="138">
        <v>19488.3</v>
      </c>
      <c r="AA60" s="138">
        <v>21473.5</v>
      </c>
      <c r="AB60" s="77">
        <v>12472</v>
      </c>
      <c r="AC60" s="77">
        <v>14643</v>
      </c>
      <c r="AD60" s="77">
        <v>18269</v>
      </c>
      <c r="AE60" s="77">
        <v>13118</v>
      </c>
      <c r="AF60" s="77">
        <v>16300</v>
      </c>
      <c r="AG60" s="78">
        <f t="shared" si="54"/>
        <v>124.25674645525233</v>
      </c>
      <c r="AH60" s="77">
        <f t="shared" si="52"/>
        <v>111.31598716110088</v>
      </c>
      <c r="AI60" s="77">
        <v>75</v>
      </c>
      <c r="AJ60" s="78">
        <f t="shared" si="42"/>
        <v>75.9075139124968</v>
      </c>
      <c r="AK60" s="78">
        <f t="shared" si="43"/>
        <v>0.9075139124967961</v>
      </c>
      <c r="AL60" s="77">
        <f t="shared" si="10"/>
        <v>68.90823529411765</v>
      </c>
      <c r="AM60" s="135">
        <v>49</v>
      </c>
      <c r="AN60" s="136" t="s">
        <v>65</v>
      </c>
      <c r="AO60" s="77">
        <v>21192</v>
      </c>
      <c r="AP60" s="77">
        <v>21250</v>
      </c>
      <c r="AQ60" s="77">
        <v>24165</v>
      </c>
      <c r="AR60" s="138">
        <v>19488.3</v>
      </c>
      <c r="AS60" s="138">
        <v>21473.5</v>
      </c>
      <c r="AT60" s="77">
        <v>6731</v>
      </c>
      <c r="AU60" s="77">
        <v>7132</v>
      </c>
      <c r="AV60" s="77">
        <v>12107</v>
      </c>
      <c r="AW60" s="77">
        <v>6929</v>
      </c>
      <c r="AX60" s="77">
        <v>8200</v>
      </c>
      <c r="AY60" s="78">
        <f t="shared" si="55"/>
        <v>118.34319526627219</v>
      </c>
      <c r="AZ60" s="77">
        <f t="shared" si="53"/>
        <v>114.9747616376893</v>
      </c>
      <c r="BA60" s="77">
        <v>50</v>
      </c>
      <c r="BB60" s="78">
        <f t="shared" si="46"/>
        <v>38.186602090949314</v>
      </c>
      <c r="BC60" s="78">
        <f t="shared" si="47"/>
        <v>-11.813397909050686</v>
      </c>
      <c r="BD60" s="77">
        <f t="shared" si="11"/>
        <v>33.56235294117647</v>
      </c>
      <c r="BE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K60" s="139">
        <v>13734</v>
      </c>
      <c r="CL60" s="139">
        <v>16559</v>
      </c>
      <c r="CM60" s="139">
        <v>14084</v>
      </c>
      <c r="CN60" s="139">
        <v>17700</v>
      </c>
      <c r="CO60" s="139">
        <v>19597.48</v>
      </c>
    </row>
    <row r="61" spans="1:93" ht="18.75">
      <c r="A61" s="62">
        <v>50</v>
      </c>
      <c r="B61" s="66" t="s">
        <v>66</v>
      </c>
      <c r="C61" s="71">
        <v>14579</v>
      </c>
      <c r="D61" s="71">
        <v>16690</v>
      </c>
      <c r="E61" s="71">
        <v>18690</v>
      </c>
      <c r="F61" s="71">
        <v>15351</v>
      </c>
      <c r="G61" s="71">
        <v>17333</v>
      </c>
      <c r="H61" s="71">
        <v>21102</v>
      </c>
      <c r="I61" s="71">
        <v>29401</v>
      </c>
      <c r="J61" s="71">
        <v>33190</v>
      </c>
      <c r="K61" s="71">
        <v>22583</v>
      </c>
      <c r="L61" s="71">
        <v>30964</v>
      </c>
      <c r="M61" s="78">
        <f t="shared" si="48"/>
        <v>137.11198689279547</v>
      </c>
      <c r="N61" s="77">
        <f t="shared" si="49"/>
        <v>105.31614570932962</v>
      </c>
      <c r="O61" s="77">
        <v>173</v>
      </c>
      <c r="P61" s="78">
        <f aca="true" t="shared" si="56" ref="P61:P67">L61/G61*100</f>
        <v>178.64189695955693</v>
      </c>
      <c r="Q61" s="78">
        <f aca="true" t="shared" si="57" ref="Q61:Q67">P61-O61</f>
        <v>5.641896959556931</v>
      </c>
      <c r="R61" s="71">
        <f t="shared" si="9"/>
        <v>176.15937687237866</v>
      </c>
      <c r="U61" s="39">
        <v>50</v>
      </c>
      <c r="V61" s="66" t="s">
        <v>66</v>
      </c>
      <c r="W61" s="71">
        <v>14579</v>
      </c>
      <c r="X61" s="71">
        <v>16690</v>
      </c>
      <c r="Y61" s="71">
        <v>18690</v>
      </c>
      <c r="Z61" s="71">
        <v>15351</v>
      </c>
      <c r="AA61" s="71">
        <v>17333</v>
      </c>
      <c r="AB61" s="71">
        <v>11365</v>
      </c>
      <c r="AC61" s="71">
        <v>14982</v>
      </c>
      <c r="AD61" s="71">
        <v>16785</v>
      </c>
      <c r="AE61" s="71">
        <v>12455</v>
      </c>
      <c r="AF61" s="71">
        <v>16307</v>
      </c>
      <c r="AG61" s="78">
        <f t="shared" si="54"/>
        <v>130.9273384183059</v>
      </c>
      <c r="AH61" s="71">
        <f t="shared" si="52"/>
        <v>108.84394606861567</v>
      </c>
      <c r="AI61" s="77">
        <v>89</v>
      </c>
      <c r="AJ61" s="72">
        <f t="shared" si="42"/>
        <v>94.08065539721918</v>
      </c>
      <c r="AK61" s="72">
        <f t="shared" si="43"/>
        <v>5.080655397219175</v>
      </c>
      <c r="AL61" s="71">
        <f t="shared" si="10"/>
        <v>89.7663271420012</v>
      </c>
      <c r="AM61" s="39">
        <v>50</v>
      </c>
      <c r="AN61" s="97" t="s">
        <v>66</v>
      </c>
      <c r="AO61" s="71">
        <v>14579</v>
      </c>
      <c r="AP61" s="71">
        <v>16690</v>
      </c>
      <c r="AQ61" s="71">
        <v>18690</v>
      </c>
      <c r="AR61" s="71">
        <v>15351</v>
      </c>
      <c r="AS61" s="71">
        <v>17333</v>
      </c>
      <c r="AT61" s="71">
        <v>6352</v>
      </c>
      <c r="AU61" s="71">
        <v>7344</v>
      </c>
      <c r="AV61" s="71">
        <v>9583</v>
      </c>
      <c r="AW61" s="71">
        <v>6752</v>
      </c>
      <c r="AX61" s="71">
        <v>8701</v>
      </c>
      <c r="AY61" s="78">
        <f t="shared" si="55"/>
        <v>128.86552132701422</v>
      </c>
      <c r="AZ61" s="71">
        <f t="shared" si="53"/>
        <v>118.4776688453159</v>
      </c>
      <c r="BA61" s="77">
        <v>51</v>
      </c>
      <c r="BB61" s="72">
        <f t="shared" si="46"/>
        <v>50.1990422892748</v>
      </c>
      <c r="BC61" s="72">
        <f t="shared" si="47"/>
        <v>-0.8009577107252</v>
      </c>
      <c r="BD61" s="71">
        <f t="shared" si="11"/>
        <v>44.00239664469742</v>
      </c>
      <c r="CK61" s="41">
        <v>11770</v>
      </c>
      <c r="CL61" s="41">
        <v>15198</v>
      </c>
      <c r="CM61" s="41">
        <v>12696</v>
      </c>
      <c r="CN61" s="41">
        <v>16366</v>
      </c>
      <c r="CO61" s="41">
        <v>17600</v>
      </c>
    </row>
    <row r="62" spans="1:93" s="69" customFormat="1" ht="18.75">
      <c r="A62" s="130">
        <v>51</v>
      </c>
      <c r="B62" s="131" t="s">
        <v>67</v>
      </c>
      <c r="C62" s="78">
        <v>18492.4</v>
      </c>
      <c r="D62" s="78">
        <v>21000</v>
      </c>
      <c r="E62" s="78">
        <v>24053</v>
      </c>
      <c r="F62" s="140">
        <v>18876</v>
      </c>
      <c r="G62" s="140">
        <v>21450</v>
      </c>
      <c r="H62" s="78">
        <v>22162</v>
      </c>
      <c r="I62" s="78">
        <v>28560</v>
      </c>
      <c r="J62" s="78">
        <v>31975.4</v>
      </c>
      <c r="K62" s="78">
        <v>23894</v>
      </c>
      <c r="L62" s="78">
        <v>28623.2</v>
      </c>
      <c r="M62" s="78">
        <f t="shared" si="48"/>
        <v>119.7924165062359</v>
      </c>
      <c r="N62" s="77">
        <f t="shared" si="49"/>
        <v>100.22128851540617</v>
      </c>
      <c r="O62" s="78">
        <v>125</v>
      </c>
      <c r="P62" s="78">
        <f t="shared" si="56"/>
        <v>133.44149184149185</v>
      </c>
      <c r="Q62" s="78">
        <f t="shared" si="57"/>
        <v>8.441491841491853</v>
      </c>
      <c r="R62" s="77">
        <f t="shared" si="9"/>
        <v>136</v>
      </c>
      <c r="S62" s="134"/>
      <c r="U62" s="135">
        <v>51</v>
      </c>
      <c r="V62" s="131" t="s">
        <v>67</v>
      </c>
      <c r="W62" s="78">
        <v>18492.4</v>
      </c>
      <c r="X62" s="78">
        <v>21000</v>
      </c>
      <c r="Y62" s="78">
        <v>24053</v>
      </c>
      <c r="Z62" s="140">
        <v>18876</v>
      </c>
      <c r="AA62" s="140">
        <v>21450</v>
      </c>
      <c r="AB62" s="78">
        <v>13440</v>
      </c>
      <c r="AC62" s="78">
        <v>15147</v>
      </c>
      <c r="AD62" s="78">
        <v>16220.3</v>
      </c>
      <c r="AE62" s="78">
        <v>14873</v>
      </c>
      <c r="AF62" s="78">
        <v>15977.7</v>
      </c>
      <c r="AG62" s="78">
        <f t="shared" si="54"/>
        <v>107.42755328447522</v>
      </c>
      <c r="AH62" s="77">
        <f t="shared" si="52"/>
        <v>105.48425430778371</v>
      </c>
      <c r="AI62" s="78">
        <v>64</v>
      </c>
      <c r="AJ62" s="78">
        <f t="shared" si="42"/>
        <v>74.4881118881119</v>
      </c>
      <c r="AK62" s="78">
        <f t="shared" si="43"/>
        <v>10.488111888111902</v>
      </c>
      <c r="AL62" s="77">
        <f t="shared" si="10"/>
        <v>72.12857142857143</v>
      </c>
      <c r="AM62" s="135">
        <v>51</v>
      </c>
      <c r="AN62" s="136" t="s">
        <v>67</v>
      </c>
      <c r="AO62" s="78">
        <v>18492.4</v>
      </c>
      <c r="AP62" s="78">
        <v>21000</v>
      </c>
      <c r="AQ62" s="78">
        <v>24053</v>
      </c>
      <c r="AR62" s="140">
        <v>18876</v>
      </c>
      <c r="AS62" s="140">
        <v>21450</v>
      </c>
      <c r="AT62" s="78">
        <v>7978</v>
      </c>
      <c r="AU62" s="78">
        <v>8395</v>
      </c>
      <c r="AV62" s="78">
        <v>10301.8</v>
      </c>
      <c r="AW62" s="78">
        <v>8009</v>
      </c>
      <c r="AX62" s="78">
        <v>9216.4</v>
      </c>
      <c r="AY62" s="78">
        <f t="shared" si="55"/>
        <v>115.07554001748032</v>
      </c>
      <c r="AZ62" s="77">
        <f t="shared" si="53"/>
        <v>109.78439547349612</v>
      </c>
      <c r="BA62" s="77">
        <v>41</v>
      </c>
      <c r="BB62" s="78">
        <f t="shared" si="46"/>
        <v>42.966899766899765</v>
      </c>
      <c r="BC62" s="78">
        <f t="shared" si="47"/>
        <v>1.9668997668997648</v>
      </c>
      <c r="BD62" s="77">
        <f t="shared" si="11"/>
        <v>39.976190476190474</v>
      </c>
      <c r="BE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K62" s="137">
        <v>12457.9</v>
      </c>
      <c r="CL62" s="137">
        <v>15796</v>
      </c>
      <c r="CM62" s="137">
        <v>14484.2</v>
      </c>
      <c r="CN62" s="137">
        <v>16675.3</v>
      </c>
      <c r="CO62" s="137">
        <v>16720</v>
      </c>
    </row>
    <row r="63" spans="1:93" ht="18.75">
      <c r="A63" s="62">
        <v>52</v>
      </c>
      <c r="B63" s="66" t="s">
        <v>68</v>
      </c>
      <c r="C63" s="72">
        <v>17024.9</v>
      </c>
      <c r="D63" s="72">
        <v>18690.2</v>
      </c>
      <c r="E63" s="72">
        <v>19884.8</v>
      </c>
      <c r="F63" s="72">
        <v>18690.2</v>
      </c>
      <c r="G63" s="72">
        <v>19340.5</v>
      </c>
      <c r="H63" s="72">
        <v>19617</v>
      </c>
      <c r="I63" s="72">
        <v>23334</v>
      </c>
      <c r="J63" s="72">
        <v>30098</v>
      </c>
      <c r="K63" s="72">
        <v>21301</v>
      </c>
      <c r="L63" s="72">
        <v>24892.51</v>
      </c>
      <c r="M63" s="78">
        <f t="shared" si="48"/>
        <v>116.86075771090559</v>
      </c>
      <c r="N63" s="77">
        <f t="shared" si="49"/>
        <v>106.67913773892175</v>
      </c>
      <c r="O63" s="78">
        <v>103</v>
      </c>
      <c r="P63" s="78">
        <f t="shared" si="56"/>
        <v>128.70665184457485</v>
      </c>
      <c r="Q63" s="78">
        <f t="shared" si="57"/>
        <v>25.70665184457485</v>
      </c>
      <c r="R63" s="71">
        <f t="shared" si="9"/>
        <v>124.84617607088207</v>
      </c>
      <c r="U63" s="39">
        <v>52</v>
      </c>
      <c r="V63" s="66" t="s">
        <v>68</v>
      </c>
      <c r="W63" s="72">
        <v>17024.9</v>
      </c>
      <c r="X63" s="72">
        <v>18690.2</v>
      </c>
      <c r="Y63" s="72">
        <v>19884.8</v>
      </c>
      <c r="Z63" s="72">
        <v>18690.2</v>
      </c>
      <c r="AA63" s="72">
        <v>19340.5</v>
      </c>
      <c r="AB63" s="72">
        <v>10446</v>
      </c>
      <c r="AC63" s="72">
        <v>12294</v>
      </c>
      <c r="AD63" s="72">
        <v>15330</v>
      </c>
      <c r="AE63" s="72">
        <v>11301</v>
      </c>
      <c r="AF63" s="72">
        <v>12485.03</v>
      </c>
      <c r="AG63" s="78">
        <f t="shared" si="54"/>
        <v>110.4772144058048</v>
      </c>
      <c r="AH63" s="71">
        <f t="shared" si="52"/>
        <v>101.55384740523834</v>
      </c>
      <c r="AI63" s="78">
        <v>63</v>
      </c>
      <c r="AJ63" s="72">
        <f t="shared" si="42"/>
        <v>64.55381194901891</v>
      </c>
      <c r="AK63" s="72">
        <f t="shared" si="43"/>
        <v>1.5538119490189075</v>
      </c>
      <c r="AL63" s="71">
        <f t="shared" si="10"/>
        <v>65.77778728959561</v>
      </c>
      <c r="AM63" s="39">
        <v>52</v>
      </c>
      <c r="AN63" s="97" t="s">
        <v>68</v>
      </c>
      <c r="AO63" s="72">
        <v>17024.9</v>
      </c>
      <c r="AP63" s="72">
        <v>18690.2</v>
      </c>
      <c r="AQ63" s="72">
        <v>19884.8</v>
      </c>
      <c r="AR63" s="72">
        <v>18690.2</v>
      </c>
      <c r="AS63" s="72">
        <v>19340.5</v>
      </c>
      <c r="AT63" s="72">
        <v>5994</v>
      </c>
      <c r="AU63" s="72">
        <v>7188</v>
      </c>
      <c r="AV63" s="72">
        <v>8913</v>
      </c>
      <c r="AW63" s="72">
        <v>6744</v>
      </c>
      <c r="AX63" s="72">
        <v>8116.44</v>
      </c>
      <c r="AY63" s="78">
        <f t="shared" si="55"/>
        <v>120.35053380782918</v>
      </c>
      <c r="AZ63" s="71">
        <f t="shared" si="53"/>
        <v>112.91652754590984</v>
      </c>
      <c r="BA63" s="78">
        <v>37</v>
      </c>
      <c r="BB63" s="72">
        <f t="shared" si="46"/>
        <v>41.966029833768516</v>
      </c>
      <c r="BC63" s="72">
        <f t="shared" si="47"/>
        <v>4.966029833768516</v>
      </c>
      <c r="BD63" s="71">
        <f t="shared" si="11"/>
        <v>38.458657478250636</v>
      </c>
      <c r="CK63" s="42">
        <v>10959</v>
      </c>
      <c r="CL63" s="42">
        <v>12901</v>
      </c>
      <c r="CM63" s="52">
        <v>11903</v>
      </c>
      <c r="CN63" s="42">
        <v>13441.53</v>
      </c>
      <c r="CO63" s="42">
        <v>16375.7</v>
      </c>
    </row>
    <row r="64" spans="1:93" ht="18.75">
      <c r="A64" s="62">
        <v>53</v>
      </c>
      <c r="B64" s="66" t="s">
        <v>69</v>
      </c>
      <c r="C64" s="72">
        <v>16362.3</v>
      </c>
      <c r="D64" s="72">
        <v>19266.6</v>
      </c>
      <c r="E64" s="72">
        <v>23398</v>
      </c>
      <c r="F64" s="72">
        <v>17580.7</v>
      </c>
      <c r="G64" s="72">
        <v>18049</v>
      </c>
      <c r="H64" s="72">
        <v>21519.2</v>
      </c>
      <c r="I64" s="72">
        <v>25921.8</v>
      </c>
      <c r="J64" s="72">
        <v>30347.2</v>
      </c>
      <c r="K64" s="72">
        <v>21409.82</v>
      </c>
      <c r="L64" s="72">
        <v>26579.63</v>
      </c>
      <c r="M64" s="78">
        <f t="shared" si="48"/>
        <v>124.14691015618067</v>
      </c>
      <c r="N64" s="77">
        <f t="shared" si="49"/>
        <v>102.53774815020562</v>
      </c>
      <c r="O64" s="78">
        <v>129</v>
      </c>
      <c r="P64" s="78">
        <f t="shared" si="56"/>
        <v>147.263726522245</v>
      </c>
      <c r="Q64" s="78">
        <f t="shared" si="57"/>
        <v>18.26372652224501</v>
      </c>
      <c r="R64" s="71">
        <f t="shared" si="9"/>
        <v>134.5426800784778</v>
      </c>
      <c r="U64" s="39">
        <v>53</v>
      </c>
      <c r="V64" s="66" t="s">
        <v>69</v>
      </c>
      <c r="W64" s="72">
        <v>16362.3</v>
      </c>
      <c r="X64" s="72">
        <v>19266.6</v>
      </c>
      <c r="Y64" s="72">
        <v>23398</v>
      </c>
      <c r="Z64" s="72">
        <v>17580.7</v>
      </c>
      <c r="AA64" s="72">
        <v>18049</v>
      </c>
      <c r="AB64" s="72">
        <v>11142.82</v>
      </c>
      <c r="AC64" s="72">
        <v>13395.9</v>
      </c>
      <c r="AD64" s="72">
        <v>17688.9</v>
      </c>
      <c r="AE64" s="72">
        <v>11774.9</v>
      </c>
      <c r="AF64" s="72">
        <v>13945.91</v>
      </c>
      <c r="AG64" s="78">
        <f t="shared" si="54"/>
        <v>118.43760881196444</v>
      </c>
      <c r="AH64" s="71">
        <f t="shared" si="52"/>
        <v>104.10580849364356</v>
      </c>
      <c r="AI64" s="78">
        <v>75</v>
      </c>
      <c r="AJ64" s="72">
        <f t="shared" si="42"/>
        <v>77.26693999667572</v>
      </c>
      <c r="AK64" s="72">
        <f t="shared" si="43"/>
        <v>2.266939996675717</v>
      </c>
      <c r="AL64" s="71">
        <f t="shared" si="10"/>
        <v>69.52913331880042</v>
      </c>
      <c r="AM64" s="39">
        <v>53</v>
      </c>
      <c r="AN64" s="97" t="s">
        <v>69</v>
      </c>
      <c r="AO64" s="72">
        <v>16362.3</v>
      </c>
      <c r="AP64" s="72">
        <v>19266.6</v>
      </c>
      <c r="AQ64" s="72">
        <v>23398</v>
      </c>
      <c r="AR64" s="72">
        <v>17580.7</v>
      </c>
      <c r="AS64" s="72">
        <v>18049</v>
      </c>
      <c r="AT64" s="72">
        <v>6446.7</v>
      </c>
      <c r="AU64" s="72">
        <v>7472</v>
      </c>
      <c r="AV64" s="72">
        <v>11722.4</v>
      </c>
      <c r="AW64" s="72">
        <v>7141.12</v>
      </c>
      <c r="AX64" s="72">
        <v>8315.07</v>
      </c>
      <c r="AY64" s="78">
        <f t="shared" si="55"/>
        <v>116.43929803728265</v>
      </c>
      <c r="AZ64" s="71">
        <f t="shared" si="53"/>
        <v>111.28305674518202</v>
      </c>
      <c r="BA64" s="78">
        <v>50</v>
      </c>
      <c r="BB64" s="72">
        <f t="shared" si="46"/>
        <v>46.069422128649784</v>
      </c>
      <c r="BC64" s="72">
        <f t="shared" si="47"/>
        <v>-3.9305778713502164</v>
      </c>
      <c r="BD64" s="71">
        <f t="shared" si="11"/>
        <v>38.78214111467514</v>
      </c>
      <c r="CK64" s="42">
        <v>11893.3</v>
      </c>
      <c r="CL64" s="42">
        <v>14061.6</v>
      </c>
      <c r="CM64" s="42">
        <v>12344.91</v>
      </c>
      <c r="CN64" s="42">
        <v>14677.15</v>
      </c>
      <c r="CO64" s="42">
        <v>16494.1</v>
      </c>
    </row>
    <row r="65" spans="1:93" ht="18.75">
      <c r="A65" s="62">
        <v>54</v>
      </c>
      <c r="B65" s="66" t="s">
        <v>70</v>
      </c>
      <c r="C65" s="72">
        <v>18650</v>
      </c>
      <c r="D65" s="72">
        <v>20955</v>
      </c>
      <c r="E65" s="72">
        <v>23480</v>
      </c>
      <c r="F65" s="72">
        <v>19161</v>
      </c>
      <c r="G65" s="72">
        <v>20941</v>
      </c>
      <c r="H65" s="74">
        <v>23525</v>
      </c>
      <c r="I65" s="74">
        <v>25625.4</v>
      </c>
      <c r="J65" s="74">
        <v>30454</v>
      </c>
      <c r="K65" s="74">
        <v>23778.59</v>
      </c>
      <c r="L65" s="74">
        <v>26285.19</v>
      </c>
      <c r="M65" s="78">
        <f>L65/K65*100</f>
        <v>110.54141561799922</v>
      </c>
      <c r="N65" s="77">
        <f t="shared" si="49"/>
        <v>102.57475005268208</v>
      </c>
      <c r="O65" s="78">
        <v>129</v>
      </c>
      <c r="P65" s="78">
        <f t="shared" si="56"/>
        <v>125.52022348502936</v>
      </c>
      <c r="Q65" s="78">
        <f t="shared" si="57"/>
        <v>-3.479776514970638</v>
      </c>
      <c r="R65" s="71">
        <f t="shared" si="9"/>
        <v>122.28775948460988</v>
      </c>
      <c r="U65" s="39">
        <v>54</v>
      </c>
      <c r="V65" s="66" t="s">
        <v>70</v>
      </c>
      <c r="W65" s="72">
        <v>18650</v>
      </c>
      <c r="X65" s="72">
        <v>20955</v>
      </c>
      <c r="Y65" s="72">
        <v>23480</v>
      </c>
      <c r="Z65" s="72">
        <v>19161</v>
      </c>
      <c r="AA65" s="72">
        <v>20941</v>
      </c>
      <c r="AB65" s="72">
        <v>13226</v>
      </c>
      <c r="AC65" s="72">
        <v>15106.1</v>
      </c>
      <c r="AD65" s="72">
        <v>17751</v>
      </c>
      <c r="AE65" s="72">
        <v>13774.96</v>
      </c>
      <c r="AF65" s="72">
        <v>15824</v>
      </c>
      <c r="AG65" s="78">
        <f t="shared" si="54"/>
        <v>114.87510671537339</v>
      </c>
      <c r="AH65" s="71">
        <f t="shared" si="52"/>
        <v>104.75238479819411</v>
      </c>
      <c r="AI65" s="78">
        <v>75</v>
      </c>
      <c r="AJ65" s="72">
        <f t="shared" si="42"/>
        <v>75.564681724846</v>
      </c>
      <c r="AK65" s="72">
        <f t="shared" si="43"/>
        <v>0.5646817248459968</v>
      </c>
      <c r="AL65" s="71">
        <f t="shared" si="10"/>
        <v>72.08828441899308</v>
      </c>
      <c r="AM65" s="39">
        <v>54</v>
      </c>
      <c r="AN65" s="97" t="s">
        <v>70</v>
      </c>
      <c r="AO65" s="72">
        <v>18650</v>
      </c>
      <c r="AP65" s="72">
        <v>20955</v>
      </c>
      <c r="AQ65" s="72">
        <v>23480</v>
      </c>
      <c r="AR65" s="72">
        <v>19161</v>
      </c>
      <c r="AS65" s="72">
        <v>20941</v>
      </c>
      <c r="AT65" s="72">
        <v>8237</v>
      </c>
      <c r="AU65" s="72">
        <v>9286.1</v>
      </c>
      <c r="AV65" s="72">
        <v>11760</v>
      </c>
      <c r="AW65" s="72">
        <v>8687.27</v>
      </c>
      <c r="AX65" s="72">
        <v>9930.18</v>
      </c>
      <c r="AY65" s="78">
        <f t="shared" si="55"/>
        <v>114.30725647988378</v>
      </c>
      <c r="AZ65" s="71">
        <f t="shared" si="53"/>
        <v>106.93595804481969</v>
      </c>
      <c r="BA65" s="78">
        <v>50</v>
      </c>
      <c r="BB65" s="72">
        <f t="shared" si="46"/>
        <v>47.41979848144788</v>
      </c>
      <c r="BC65" s="72">
        <f t="shared" si="47"/>
        <v>-2.5802015185521228</v>
      </c>
      <c r="BD65" s="71">
        <f t="shared" si="11"/>
        <v>44.314483416845626</v>
      </c>
      <c r="CK65" s="42">
        <v>14739.1</v>
      </c>
      <c r="CL65" s="42">
        <v>15782.7</v>
      </c>
      <c r="CM65" s="42">
        <v>14961.93</v>
      </c>
      <c r="CN65" s="42">
        <v>17191.8</v>
      </c>
      <c r="CO65" s="42">
        <v>23132.54</v>
      </c>
    </row>
    <row r="66" spans="1:93" s="69" customFormat="1" ht="18.75">
      <c r="A66" s="130">
        <v>55</v>
      </c>
      <c r="B66" s="131" t="s">
        <v>71</v>
      </c>
      <c r="C66" s="77">
        <v>16205</v>
      </c>
      <c r="D66" s="78">
        <v>18805.6</v>
      </c>
      <c r="E66" s="78">
        <v>21000</v>
      </c>
      <c r="F66" s="77">
        <v>16982</v>
      </c>
      <c r="G66" s="78">
        <v>18800</v>
      </c>
      <c r="H66" s="77">
        <v>20577</v>
      </c>
      <c r="I66" s="78">
        <v>24678</v>
      </c>
      <c r="J66" s="78">
        <v>27237</v>
      </c>
      <c r="K66" s="77">
        <v>21360</v>
      </c>
      <c r="L66" s="78">
        <v>25566</v>
      </c>
      <c r="M66" s="78">
        <f>L66/K66*100</f>
        <v>119.69101123595505</v>
      </c>
      <c r="N66" s="77">
        <f t="shared" si="49"/>
        <v>103.5983467055677</v>
      </c>
      <c r="O66" s="77">
        <v>129</v>
      </c>
      <c r="P66" s="78">
        <f t="shared" si="56"/>
        <v>135.98936170212767</v>
      </c>
      <c r="Q66" s="78">
        <f t="shared" si="57"/>
        <v>6.989361702127667</v>
      </c>
      <c r="R66" s="77">
        <f t="shared" si="9"/>
        <v>131.2268685923342</v>
      </c>
      <c r="S66" s="134"/>
      <c r="U66" s="135">
        <v>55</v>
      </c>
      <c r="V66" s="131" t="s">
        <v>71</v>
      </c>
      <c r="W66" s="77">
        <v>16205</v>
      </c>
      <c r="X66" s="78">
        <v>18805.6</v>
      </c>
      <c r="Y66" s="78">
        <v>21000</v>
      </c>
      <c r="Z66" s="77">
        <v>16982</v>
      </c>
      <c r="AA66" s="78">
        <v>18800</v>
      </c>
      <c r="AB66" s="77">
        <v>11653</v>
      </c>
      <c r="AC66" s="78">
        <v>13621</v>
      </c>
      <c r="AD66" s="78">
        <v>15876</v>
      </c>
      <c r="AE66" s="77">
        <v>12527</v>
      </c>
      <c r="AF66" s="78">
        <v>14275</v>
      </c>
      <c r="AG66" s="78">
        <f t="shared" si="54"/>
        <v>113.95385966312766</v>
      </c>
      <c r="AH66" s="77">
        <f t="shared" si="52"/>
        <v>104.80140958813597</v>
      </c>
      <c r="AI66" s="78">
        <v>75</v>
      </c>
      <c r="AJ66" s="78">
        <f t="shared" si="42"/>
        <v>75.93085106382979</v>
      </c>
      <c r="AK66" s="78">
        <f t="shared" si="43"/>
        <v>0.9308510638297918</v>
      </c>
      <c r="AL66" s="77">
        <f t="shared" si="10"/>
        <v>72.43055260135279</v>
      </c>
      <c r="AM66" s="135">
        <v>55</v>
      </c>
      <c r="AN66" s="136" t="s">
        <v>71</v>
      </c>
      <c r="AO66" s="77">
        <v>16205</v>
      </c>
      <c r="AP66" s="78">
        <v>18805.6</v>
      </c>
      <c r="AQ66" s="78">
        <v>21000</v>
      </c>
      <c r="AR66" s="77">
        <v>16982</v>
      </c>
      <c r="AS66" s="78">
        <v>18800</v>
      </c>
      <c r="AT66" s="77">
        <v>7160</v>
      </c>
      <c r="AU66" s="78">
        <v>8094</v>
      </c>
      <c r="AV66" s="78">
        <v>10521</v>
      </c>
      <c r="AW66" s="77">
        <v>7661</v>
      </c>
      <c r="AX66" s="78">
        <v>8817</v>
      </c>
      <c r="AY66" s="78">
        <f t="shared" si="55"/>
        <v>115.08941391463254</v>
      </c>
      <c r="AZ66" s="77">
        <f t="shared" si="53"/>
        <v>108.93254262416605</v>
      </c>
      <c r="BA66" s="77">
        <v>50</v>
      </c>
      <c r="BB66" s="78">
        <f t="shared" si="46"/>
        <v>46.89893617021277</v>
      </c>
      <c r="BC66" s="78">
        <f t="shared" si="47"/>
        <v>-3.101063829787229</v>
      </c>
      <c r="BD66" s="77">
        <f t="shared" si="11"/>
        <v>43.04037095333305</v>
      </c>
      <c r="BE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K66" s="139"/>
      <c r="CL66" s="137">
        <v>14596</v>
      </c>
      <c r="CM66" s="139"/>
      <c r="CN66" s="137">
        <v>15321</v>
      </c>
      <c r="CO66" s="137">
        <v>16687</v>
      </c>
    </row>
    <row r="67" spans="1:93" ht="18.75">
      <c r="A67" s="62">
        <v>56</v>
      </c>
      <c r="B67" s="66" t="s">
        <v>72</v>
      </c>
      <c r="C67" s="71">
        <v>15009</v>
      </c>
      <c r="D67" s="71">
        <v>17183</v>
      </c>
      <c r="E67" s="71">
        <v>19335</v>
      </c>
      <c r="F67" s="71">
        <v>15489</v>
      </c>
      <c r="G67" s="71">
        <v>17444</v>
      </c>
      <c r="H67" s="71">
        <v>22197</v>
      </c>
      <c r="I67" s="71">
        <v>23739</v>
      </c>
      <c r="J67" s="71">
        <v>28282</v>
      </c>
      <c r="K67" s="71">
        <v>22330</v>
      </c>
      <c r="L67" s="71">
        <v>23817</v>
      </c>
      <c r="M67" s="78">
        <f t="shared" si="48"/>
        <v>106.65920286609942</v>
      </c>
      <c r="N67" s="77">
        <f t="shared" si="49"/>
        <v>100.32857323391886</v>
      </c>
      <c r="O67" s="77">
        <v>146</v>
      </c>
      <c r="P67" s="78">
        <f t="shared" si="56"/>
        <v>136.53405182297638</v>
      </c>
      <c r="Q67" s="78">
        <f t="shared" si="57"/>
        <v>-9.46594817702362</v>
      </c>
      <c r="R67" s="71">
        <f t="shared" si="9"/>
        <v>138.15398940813594</v>
      </c>
      <c r="U67" s="39">
        <v>56</v>
      </c>
      <c r="V67" s="66" t="s">
        <v>72</v>
      </c>
      <c r="W67" s="71">
        <v>15009</v>
      </c>
      <c r="X67" s="71">
        <v>17183</v>
      </c>
      <c r="Y67" s="71">
        <v>19335</v>
      </c>
      <c r="Z67" s="71">
        <v>15489</v>
      </c>
      <c r="AA67" s="71">
        <v>17444</v>
      </c>
      <c r="AB67" s="71">
        <v>11320</v>
      </c>
      <c r="AC67" s="71">
        <v>12851</v>
      </c>
      <c r="AD67" s="71">
        <v>15254</v>
      </c>
      <c r="AE67" s="71">
        <v>11995</v>
      </c>
      <c r="AF67" s="71">
        <v>14060</v>
      </c>
      <c r="AG67" s="78">
        <f t="shared" si="54"/>
        <v>117.21550646102543</v>
      </c>
      <c r="AH67" s="71">
        <f t="shared" si="52"/>
        <v>109.40782818457708</v>
      </c>
      <c r="AI67" s="77">
        <v>78</v>
      </c>
      <c r="AJ67" s="72">
        <f t="shared" si="42"/>
        <v>80.60077963769777</v>
      </c>
      <c r="AK67" s="72">
        <f t="shared" si="43"/>
        <v>2.6007796376977694</v>
      </c>
      <c r="AL67" s="71">
        <f t="shared" si="10"/>
        <v>74.78903567479486</v>
      </c>
      <c r="AM67" s="39">
        <v>56</v>
      </c>
      <c r="AN67" s="97" t="s">
        <v>72</v>
      </c>
      <c r="AO67" s="71">
        <v>15009</v>
      </c>
      <c r="AP67" s="71">
        <v>17183</v>
      </c>
      <c r="AQ67" s="71">
        <v>19335</v>
      </c>
      <c r="AR67" s="71">
        <v>15489</v>
      </c>
      <c r="AS67" s="71">
        <v>17444</v>
      </c>
      <c r="AT67" s="71">
        <v>6636</v>
      </c>
      <c r="AU67" s="71">
        <v>7333</v>
      </c>
      <c r="AV67" s="71">
        <v>9471</v>
      </c>
      <c r="AW67" s="71">
        <v>7105</v>
      </c>
      <c r="AX67" s="71">
        <v>8016</v>
      </c>
      <c r="AY67" s="78">
        <f t="shared" si="55"/>
        <v>112.8219563687544</v>
      </c>
      <c r="AZ67" s="71">
        <f t="shared" si="53"/>
        <v>109.31405972998773</v>
      </c>
      <c r="BA67" s="77">
        <v>49</v>
      </c>
      <c r="BB67" s="72">
        <f t="shared" si="46"/>
        <v>45.952763127723</v>
      </c>
      <c r="BC67" s="72">
        <f t="shared" si="47"/>
        <v>-3.047236872276997</v>
      </c>
      <c r="BD67" s="71">
        <f t="shared" si="11"/>
        <v>42.67590059942967</v>
      </c>
      <c r="CK67" s="41">
        <v>10966</v>
      </c>
      <c r="CL67" s="41">
        <v>11849</v>
      </c>
      <c r="CM67" s="41">
        <v>11064</v>
      </c>
      <c r="CN67" s="41">
        <v>14017</v>
      </c>
      <c r="CO67" s="41">
        <v>14462</v>
      </c>
    </row>
    <row r="68" spans="1:93" ht="18.75" customHeight="1">
      <c r="A68" s="62"/>
      <c r="B68" s="65" t="s">
        <v>108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8"/>
      <c r="N68" s="77"/>
      <c r="O68" s="77"/>
      <c r="P68" s="77"/>
      <c r="Q68" s="77"/>
      <c r="R68" s="71"/>
      <c r="U68" s="39"/>
      <c r="V68" s="65" t="s">
        <v>108</v>
      </c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8"/>
      <c r="AH68" s="71"/>
      <c r="AI68" s="76"/>
      <c r="AJ68" s="77"/>
      <c r="AK68" s="77"/>
      <c r="AL68" s="71"/>
      <c r="AM68" s="39"/>
      <c r="AN68" s="96" t="s">
        <v>108</v>
      </c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8"/>
      <c r="AZ68" s="71"/>
      <c r="BA68" s="77"/>
      <c r="BB68" s="77"/>
      <c r="BC68" s="77"/>
      <c r="BD68" s="71"/>
      <c r="CK68" s="41"/>
      <c r="CL68" s="41"/>
      <c r="CM68" s="41"/>
      <c r="CN68" s="41"/>
      <c r="CO68" s="41"/>
    </row>
    <row r="69" spans="1:93" s="69" customFormat="1" ht="18.75">
      <c r="A69" s="130">
        <v>57</v>
      </c>
      <c r="B69" s="131" t="s">
        <v>73</v>
      </c>
      <c r="C69" s="77">
        <v>14833</v>
      </c>
      <c r="D69" s="77">
        <v>16610</v>
      </c>
      <c r="E69" s="77">
        <v>18940</v>
      </c>
      <c r="F69" s="77"/>
      <c r="G69" s="77">
        <v>17000</v>
      </c>
      <c r="H69" s="77">
        <v>29457</v>
      </c>
      <c r="I69" s="77">
        <v>38532</v>
      </c>
      <c r="J69" s="77">
        <v>34470</v>
      </c>
      <c r="K69" s="77"/>
      <c r="L69" s="77">
        <v>31760</v>
      </c>
      <c r="M69" s="78"/>
      <c r="N69" s="77">
        <f aca="true" t="shared" si="58" ref="N69:N74">L69/I69*100</f>
        <v>82.42499740475449</v>
      </c>
      <c r="O69" s="77">
        <v>182</v>
      </c>
      <c r="P69" s="78">
        <f aca="true" t="shared" si="59" ref="P69:P74">L69/G69*100</f>
        <v>186.8235294117647</v>
      </c>
      <c r="Q69" s="78">
        <f>P69-O69</f>
        <v>4.823529411764696</v>
      </c>
      <c r="R69" s="77">
        <f t="shared" si="9"/>
        <v>231.9807344972908</v>
      </c>
      <c r="S69" s="134"/>
      <c r="U69" s="135">
        <v>57</v>
      </c>
      <c r="V69" s="131" t="s">
        <v>73</v>
      </c>
      <c r="W69" s="77">
        <v>14833</v>
      </c>
      <c r="X69" s="77">
        <v>16610</v>
      </c>
      <c r="Y69" s="77">
        <v>18940</v>
      </c>
      <c r="Z69" s="77"/>
      <c r="AA69" s="77">
        <v>17000</v>
      </c>
      <c r="AB69" s="77">
        <v>12575</v>
      </c>
      <c r="AC69" s="77">
        <v>16533</v>
      </c>
      <c r="AD69" s="77">
        <v>15910</v>
      </c>
      <c r="AE69" s="77"/>
      <c r="AF69" s="77">
        <v>14128</v>
      </c>
      <c r="AG69" s="78"/>
      <c r="AH69" s="77">
        <f aca="true" t="shared" si="60" ref="AH69:AH74">AF69/AC69*100</f>
        <v>85.45333575273695</v>
      </c>
      <c r="AI69" s="77">
        <v>84</v>
      </c>
      <c r="AJ69" s="78">
        <f aca="true" t="shared" si="61" ref="AJ69:AJ74">AF69/AA69*100</f>
        <v>83.10588235294118</v>
      </c>
      <c r="AK69" s="78">
        <f aca="true" t="shared" si="62" ref="AK69:AK74">AJ69-AI69</f>
        <v>-0.8941176470588204</v>
      </c>
      <c r="AL69" s="77">
        <f t="shared" si="10"/>
        <v>99.5364238410596</v>
      </c>
      <c r="AM69" s="135">
        <v>57</v>
      </c>
      <c r="AN69" s="136" t="s">
        <v>73</v>
      </c>
      <c r="AO69" s="77">
        <v>14833</v>
      </c>
      <c r="AP69" s="77">
        <v>16610</v>
      </c>
      <c r="AQ69" s="77">
        <v>18940</v>
      </c>
      <c r="AR69" s="77"/>
      <c r="AS69" s="77">
        <v>17000</v>
      </c>
      <c r="AT69" s="77">
        <v>6043</v>
      </c>
      <c r="AU69" s="77">
        <v>7158</v>
      </c>
      <c r="AV69" s="77">
        <v>7580</v>
      </c>
      <c r="AW69" s="77"/>
      <c r="AX69" s="77">
        <v>6986</v>
      </c>
      <c r="AY69" s="78"/>
      <c r="AZ69" s="77">
        <f aca="true" t="shared" si="63" ref="AZ69:AZ74">AX69/AU69*100</f>
        <v>97.59709416038</v>
      </c>
      <c r="BA69" s="77">
        <v>40</v>
      </c>
      <c r="BB69" s="78">
        <f aca="true" t="shared" si="64" ref="BB69:BB74">AX69/AS69*100</f>
        <v>41.09411764705882</v>
      </c>
      <c r="BC69" s="78">
        <f aca="true" t="shared" si="65" ref="BC69:BC74">BB69-BA69</f>
        <v>1.0941176470588232</v>
      </c>
      <c r="BD69" s="77">
        <f t="shared" si="11"/>
        <v>43.09452137266707</v>
      </c>
      <c r="BE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K69" s="139">
        <v>12489</v>
      </c>
      <c r="CL69" s="139">
        <v>15850</v>
      </c>
      <c r="CM69" s="139"/>
      <c r="CN69" s="139">
        <v>14023</v>
      </c>
      <c r="CO69" s="139">
        <v>15860</v>
      </c>
    </row>
    <row r="70" spans="1:93" ht="18.75">
      <c r="A70" s="62">
        <v>58</v>
      </c>
      <c r="B70" s="66" t="s">
        <v>74</v>
      </c>
      <c r="C70" s="72">
        <v>22179</v>
      </c>
      <c r="D70" s="72">
        <v>25680</v>
      </c>
      <c r="E70" s="72">
        <v>28365</v>
      </c>
      <c r="F70" s="72">
        <v>22310</v>
      </c>
      <c r="G70" s="72">
        <v>25270</v>
      </c>
      <c r="H70" s="90">
        <v>37549.6</v>
      </c>
      <c r="I70" s="90">
        <v>45659.1</v>
      </c>
      <c r="J70" s="90">
        <v>48773</v>
      </c>
      <c r="K70" s="90">
        <v>38432</v>
      </c>
      <c r="L70" s="90">
        <v>46988</v>
      </c>
      <c r="M70" s="78">
        <f>L70/K70*100</f>
        <v>122.26269775187345</v>
      </c>
      <c r="N70" s="77">
        <f t="shared" si="58"/>
        <v>102.91048224778851</v>
      </c>
      <c r="O70" s="78">
        <v>166</v>
      </c>
      <c r="P70" s="78">
        <f t="shared" si="59"/>
        <v>185.94380688563515</v>
      </c>
      <c r="Q70" s="78">
        <f>P70-O70</f>
        <v>19.943806885635155</v>
      </c>
      <c r="R70" s="71">
        <f t="shared" si="9"/>
        <v>177.80023364485982</v>
      </c>
      <c r="U70" s="39">
        <v>58</v>
      </c>
      <c r="V70" s="66" t="s">
        <v>74</v>
      </c>
      <c r="W70" s="72">
        <v>22179</v>
      </c>
      <c r="X70" s="72">
        <v>25680</v>
      </c>
      <c r="Y70" s="72">
        <v>28365</v>
      </c>
      <c r="Z70" s="72">
        <v>22310</v>
      </c>
      <c r="AA70" s="72">
        <v>25270</v>
      </c>
      <c r="AB70" s="87">
        <v>18625.7</v>
      </c>
      <c r="AC70" s="87">
        <v>22207</v>
      </c>
      <c r="AD70" s="87">
        <v>23009.3</v>
      </c>
      <c r="AE70" s="87">
        <v>18386</v>
      </c>
      <c r="AF70" s="87">
        <v>22624</v>
      </c>
      <c r="AG70" s="78">
        <f>AF70/AE70*100</f>
        <v>123.05014685086479</v>
      </c>
      <c r="AH70" s="77">
        <f t="shared" si="60"/>
        <v>101.87778628360427</v>
      </c>
      <c r="AI70" s="78">
        <v>81</v>
      </c>
      <c r="AJ70" s="78">
        <f t="shared" si="61"/>
        <v>89.52908587257618</v>
      </c>
      <c r="AK70" s="78">
        <f t="shared" si="62"/>
        <v>8.529085872576175</v>
      </c>
      <c r="AL70" s="71">
        <f t="shared" si="10"/>
        <v>86.47585669781932</v>
      </c>
      <c r="AM70" s="39">
        <v>58</v>
      </c>
      <c r="AN70" s="97" t="s">
        <v>74</v>
      </c>
      <c r="AO70" s="72">
        <v>22179</v>
      </c>
      <c r="AP70" s="72">
        <v>25680</v>
      </c>
      <c r="AQ70" s="72">
        <v>28365</v>
      </c>
      <c r="AR70" s="72">
        <v>22310</v>
      </c>
      <c r="AS70" s="72">
        <v>25270</v>
      </c>
      <c r="AT70" s="87">
        <v>10101.7</v>
      </c>
      <c r="AU70" s="87">
        <v>10924</v>
      </c>
      <c r="AV70" s="87">
        <v>14239</v>
      </c>
      <c r="AW70" s="87">
        <v>9803</v>
      </c>
      <c r="AX70" s="87">
        <v>11347</v>
      </c>
      <c r="AY70" s="78">
        <f>AX70/AW70*100</f>
        <v>115.7502805263695</v>
      </c>
      <c r="AZ70" s="77">
        <f t="shared" si="63"/>
        <v>103.87220798242403</v>
      </c>
      <c r="BA70" s="78">
        <v>50</v>
      </c>
      <c r="BB70" s="78">
        <f t="shared" si="64"/>
        <v>44.90304709141274</v>
      </c>
      <c r="BC70" s="78">
        <f t="shared" si="65"/>
        <v>-5.096952908587262</v>
      </c>
      <c r="BD70" s="71">
        <f t="shared" si="11"/>
        <v>42.53894080996884</v>
      </c>
      <c r="CK70" s="49">
        <v>19177.3</v>
      </c>
      <c r="CL70" s="49">
        <v>23243.4</v>
      </c>
      <c r="CM70" s="49">
        <v>20103</v>
      </c>
      <c r="CN70" s="49">
        <v>23951</v>
      </c>
      <c r="CO70" s="49">
        <v>24980</v>
      </c>
    </row>
    <row r="71" spans="1:93" s="69" customFormat="1" ht="18.75">
      <c r="A71" s="130">
        <v>59</v>
      </c>
      <c r="B71" s="131" t="s">
        <v>75</v>
      </c>
      <c r="C71" s="77">
        <v>24700</v>
      </c>
      <c r="D71" s="77">
        <v>28826</v>
      </c>
      <c r="E71" s="77">
        <v>30900</v>
      </c>
      <c r="F71" s="77">
        <v>22266</v>
      </c>
      <c r="G71" s="77">
        <v>27081</v>
      </c>
      <c r="H71" s="77">
        <v>40600</v>
      </c>
      <c r="I71" s="77">
        <v>41908</v>
      </c>
      <c r="J71" s="77">
        <v>46100</v>
      </c>
      <c r="K71" s="77">
        <v>40400</v>
      </c>
      <c r="L71" s="77">
        <v>44600</v>
      </c>
      <c r="M71" s="78">
        <f>L71/K71*100</f>
        <v>110.3960396039604</v>
      </c>
      <c r="N71" s="77">
        <f t="shared" si="58"/>
        <v>106.42359454042187</v>
      </c>
      <c r="O71" s="77">
        <v>149</v>
      </c>
      <c r="P71" s="78">
        <f t="shared" si="59"/>
        <v>164.6911118496363</v>
      </c>
      <c r="Q71" s="78">
        <f>P71-O71</f>
        <v>15.691111849636286</v>
      </c>
      <c r="R71" s="77">
        <f t="shared" si="9"/>
        <v>145.38264067161592</v>
      </c>
      <c r="S71" s="134"/>
      <c r="U71" s="135">
        <v>59</v>
      </c>
      <c r="V71" s="131" t="s">
        <v>75</v>
      </c>
      <c r="W71" s="77">
        <v>24700</v>
      </c>
      <c r="X71" s="77">
        <v>28826</v>
      </c>
      <c r="Y71" s="77">
        <v>30900</v>
      </c>
      <c r="Z71" s="77">
        <v>22266</v>
      </c>
      <c r="AA71" s="77">
        <v>27081</v>
      </c>
      <c r="AB71" s="77">
        <v>20000</v>
      </c>
      <c r="AC71" s="77">
        <v>20960</v>
      </c>
      <c r="AD71" s="77">
        <v>23100</v>
      </c>
      <c r="AE71" s="77">
        <v>20600</v>
      </c>
      <c r="AF71" s="77">
        <v>22500</v>
      </c>
      <c r="AG71" s="78">
        <f>AF71/AE71*100</f>
        <v>109.22330097087378</v>
      </c>
      <c r="AH71" s="77">
        <f t="shared" si="60"/>
        <v>107.34732824427482</v>
      </c>
      <c r="AI71" s="77">
        <v>74</v>
      </c>
      <c r="AJ71" s="78">
        <f t="shared" si="61"/>
        <v>83.08408109006315</v>
      </c>
      <c r="AK71" s="78">
        <f t="shared" si="62"/>
        <v>9.084081090063151</v>
      </c>
      <c r="AL71" s="77">
        <f t="shared" si="10"/>
        <v>72.71213487823492</v>
      </c>
      <c r="AM71" s="135">
        <v>59</v>
      </c>
      <c r="AN71" s="136" t="s">
        <v>75</v>
      </c>
      <c r="AO71" s="77">
        <v>24700</v>
      </c>
      <c r="AP71" s="77">
        <v>28826</v>
      </c>
      <c r="AQ71" s="77">
        <v>30900</v>
      </c>
      <c r="AR71" s="77">
        <v>22266</v>
      </c>
      <c r="AS71" s="77">
        <v>27081</v>
      </c>
      <c r="AT71" s="77">
        <v>12100</v>
      </c>
      <c r="AU71" s="77">
        <v>12240</v>
      </c>
      <c r="AV71" s="77">
        <v>13700</v>
      </c>
      <c r="AW71" s="77">
        <v>12300</v>
      </c>
      <c r="AX71" s="77">
        <v>13800</v>
      </c>
      <c r="AY71" s="78">
        <f>AX71/AW71*100</f>
        <v>112.19512195121952</v>
      </c>
      <c r="AZ71" s="77">
        <f t="shared" si="63"/>
        <v>112.74509803921569</v>
      </c>
      <c r="BA71" s="77">
        <v>44</v>
      </c>
      <c r="BB71" s="78">
        <f t="shared" si="64"/>
        <v>50.958236401905395</v>
      </c>
      <c r="BC71" s="78">
        <f t="shared" si="65"/>
        <v>6.9582364019053955</v>
      </c>
      <c r="BD71" s="77">
        <f t="shared" si="11"/>
        <v>42.46166655103032</v>
      </c>
      <c r="BE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K71" s="139">
        <v>22300</v>
      </c>
      <c r="CL71" s="139">
        <v>23200</v>
      </c>
      <c r="CM71" s="139"/>
      <c r="CN71" s="139">
        <v>25200</v>
      </c>
      <c r="CO71" s="139">
        <v>25500</v>
      </c>
    </row>
    <row r="72" spans="1:93" s="69" customFormat="1" ht="18.75">
      <c r="A72" s="130">
        <v>60</v>
      </c>
      <c r="B72" s="131" t="s">
        <v>76</v>
      </c>
      <c r="C72" s="150">
        <v>45498.1</v>
      </c>
      <c r="D72" s="150">
        <v>50637.7</v>
      </c>
      <c r="E72" s="150">
        <v>54180.9</v>
      </c>
      <c r="F72" s="77"/>
      <c r="G72" s="77"/>
      <c r="H72" s="150">
        <v>60448</v>
      </c>
      <c r="I72" s="150">
        <v>72378</v>
      </c>
      <c r="J72" s="150">
        <v>79104</v>
      </c>
      <c r="K72" s="150">
        <v>62757.9</v>
      </c>
      <c r="L72" s="150">
        <v>66678</v>
      </c>
      <c r="M72" s="78">
        <f>L72/K72*100</f>
        <v>106.24638491727734</v>
      </c>
      <c r="N72" s="77">
        <f t="shared" si="58"/>
        <v>92.12467876979193</v>
      </c>
      <c r="O72" s="91">
        <v>146</v>
      </c>
      <c r="P72" s="78"/>
      <c r="Q72" s="78"/>
      <c r="R72" s="77">
        <f t="shared" si="9"/>
        <v>142.93303210848836</v>
      </c>
      <c r="S72" s="134"/>
      <c r="U72" s="135">
        <v>60</v>
      </c>
      <c r="V72" s="131" t="s">
        <v>76</v>
      </c>
      <c r="W72" s="150">
        <v>45498.1</v>
      </c>
      <c r="X72" s="150">
        <v>50637.7</v>
      </c>
      <c r="Y72" s="150">
        <v>54180.9</v>
      </c>
      <c r="Z72" s="77"/>
      <c r="AA72" s="77"/>
      <c r="AB72" s="150">
        <v>35080</v>
      </c>
      <c r="AC72" s="150">
        <v>40505</v>
      </c>
      <c r="AD72" s="150">
        <v>44428</v>
      </c>
      <c r="AE72" s="150">
        <v>37212.1</v>
      </c>
      <c r="AF72" s="150">
        <v>39347.6</v>
      </c>
      <c r="AG72" s="78">
        <f>AF72/AE72*100</f>
        <v>105.73872476963138</v>
      </c>
      <c r="AH72" s="77">
        <f t="shared" si="60"/>
        <v>97.14257499074188</v>
      </c>
      <c r="AI72" s="150">
        <v>82</v>
      </c>
      <c r="AJ72" s="78"/>
      <c r="AK72" s="78"/>
      <c r="AL72" s="77">
        <f t="shared" si="10"/>
        <v>79.98980996372268</v>
      </c>
      <c r="AM72" s="135">
        <v>60</v>
      </c>
      <c r="AN72" s="136" t="s">
        <v>76</v>
      </c>
      <c r="AO72" s="150">
        <v>45498.1</v>
      </c>
      <c r="AP72" s="150">
        <v>50637.7</v>
      </c>
      <c r="AQ72" s="150">
        <v>54180.9</v>
      </c>
      <c r="AR72" s="77"/>
      <c r="AS72" s="77"/>
      <c r="AT72" s="150">
        <v>20669</v>
      </c>
      <c r="AU72" s="150">
        <v>23163</v>
      </c>
      <c r="AV72" s="150">
        <v>30341</v>
      </c>
      <c r="AW72" s="150">
        <v>21744.2</v>
      </c>
      <c r="AX72" s="150">
        <v>23160.6</v>
      </c>
      <c r="AY72" s="78">
        <f>AX72/AW72*100</f>
        <v>106.51392095363362</v>
      </c>
      <c r="AZ72" s="77">
        <f t="shared" si="63"/>
        <v>99.98963864784353</v>
      </c>
      <c r="BA72" s="77">
        <v>56</v>
      </c>
      <c r="BB72" s="78"/>
      <c r="BC72" s="78"/>
      <c r="BD72" s="77">
        <f t="shared" si="11"/>
        <v>45.742598893709626</v>
      </c>
      <c r="BE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K72" s="151">
        <v>34810.6</v>
      </c>
      <c r="CL72" s="151">
        <v>40340.9</v>
      </c>
      <c r="CM72" s="151">
        <v>36346.9</v>
      </c>
      <c r="CN72" s="151">
        <v>39596.8</v>
      </c>
      <c r="CO72" s="151">
        <v>43683.8</v>
      </c>
    </row>
    <row r="73" spans="1:93" ht="18.75">
      <c r="A73" s="62">
        <v>61</v>
      </c>
      <c r="B73" s="66" t="s">
        <v>77</v>
      </c>
      <c r="C73" s="72">
        <v>59018</v>
      </c>
      <c r="D73" s="72">
        <v>64604</v>
      </c>
      <c r="E73" s="72">
        <v>68541</v>
      </c>
      <c r="F73" s="72">
        <v>60563</v>
      </c>
      <c r="G73" s="72">
        <v>64921</v>
      </c>
      <c r="H73" s="72">
        <v>61341</v>
      </c>
      <c r="I73" s="72">
        <v>88862</v>
      </c>
      <c r="J73" s="72">
        <v>76765</v>
      </c>
      <c r="K73" s="72">
        <v>78777.94</v>
      </c>
      <c r="L73" s="72">
        <v>83589.58</v>
      </c>
      <c r="M73" s="78">
        <f>L73/K73*100</f>
        <v>106.1078520205022</v>
      </c>
      <c r="N73" s="77">
        <f t="shared" si="58"/>
        <v>94.0667326866377</v>
      </c>
      <c r="O73" s="78">
        <v>123</v>
      </c>
      <c r="P73" s="78">
        <f t="shared" si="59"/>
        <v>128.75584171531554</v>
      </c>
      <c r="Q73" s="78">
        <f>P73-O73</f>
        <v>5.75584171531554</v>
      </c>
      <c r="R73" s="71">
        <f aca="true" t="shared" si="66" ref="R73:R97">I73/D73*100</f>
        <v>137.54875859079934</v>
      </c>
      <c r="U73" s="39">
        <v>61</v>
      </c>
      <c r="V73" s="66" t="s">
        <v>77</v>
      </c>
      <c r="W73" s="72">
        <v>59018</v>
      </c>
      <c r="X73" s="72">
        <v>64604</v>
      </c>
      <c r="Y73" s="72">
        <v>68541</v>
      </c>
      <c r="Z73" s="72">
        <v>60563</v>
      </c>
      <c r="AA73" s="72">
        <v>64921</v>
      </c>
      <c r="AB73" s="72">
        <v>33468.3</v>
      </c>
      <c r="AC73" s="72">
        <v>47265.6</v>
      </c>
      <c r="AD73" s="72">
        <v>43596.6</v>
      </c>
      <c r="AE73" s="72">
        <v>41822.85</v>
      </c>
      <c r="AF73" s="72">
        <v>43384.59</v>
      </c>
      <c r="AG73" s="78">
        <f>AF73/AE73*100</f>
        <v>103.73417880417044</v>
      </c>
      <c r="AH73" s="77">
        <f t="shared" si="60"/>
        <v>91.78893317761755</v>
      </c>
      <c r="AI73" s="78">
        <v>60</v>
      </c>
      <c r="AJ73" s="78">
        <f t="shared" si="61"/>
        <v>66.82674327259284</v>
      </c>
      <c r="AK73" s="78">
        <f t="shared" si="62"/>
        <v>6.826743272592836</v>
      </c>
      <c r="AL73" s="71">
        <f aca="true" t="shared" si="67" ref="AL73:AL97">AC73/X73*100</f>
        <v>73.16203331063092</v>
      </c>
      <c r="AM73" s="39">
        <v>61</v>
      </c>
      <c r="AN73" s="97" t="s">
        <v>77</v>
      </c>
      <c r="AO73" s="72">
        <v>59018</v>
      </c>
      <c r="AP73" s="72">
        <v>64604</v>
      </c>
      <c r="AQ73" s="72">
        <v>68541</v>
      </c>
      <c r="AR73" s="72">
        <v>60563</v>
      </c>
      <c r="AS73" s="72">
        <v>64921</v>
      </c>
      <c r="AT73" s="72">
        <v>16782.7</v>
      </c>
      <c r="AU73" s="72">
        <v>23497.6</v>
      </c>
      <c r="AV73" s="72">
        <v>24099.4</v>
      </c>
      <c r="AW73" s="72">
        <v>21734.54</v>
      </c>
      <c r="AX73" s="72">
        <v>21573.18</v>
      </c>
      <c r="AY73" s="78">
        <f>AX73/AW73*100</f>
        <v>99.25758723211993</v>
      </c>
      <c r="AZ73" s="77">
        <f t="shared" si="63"/>
        <v>91.81014231240638</v>
      </c>
      <c r="BA73" s="78">
        <v>29</v>
      </c>
      <c r="BB73" s="78">
        <f t="shared" si="64"/>
        <v>33.229894795212644</v>
      </c>
      <c r="BC73" s="78">
        <f t="shared" si="65"/>
        <v>4.229894795212644</v>
      </c>
      <c r="BD73" s="71">
        <f aca="true" t="shared" si="68" ref="BD73:BD97">AU73/AP73*100</f>
        <v>36.371741687821185</v>
      </c>
      <c r="CK73" s="42">
        <v>36837.73</v>
      </c>
      <c r="CL73" s="42">
        <v>42797.29</v>
      </c>
      <c r="CM73" s="40">
        <v>37792.27</v>
      </c>
      <c r="CN73" s="42">
        <v>39316.46</v>
      </c>
      <c r="CO73" s="42">
        <v>44694.71</v>
      </c>
    </row>
    <row r="74" spans="1:93" ht="18.75">
      <c r="A74" s="62">
        <v>62</v>
      </c>
      <c r="B74" s="66" t="s">
        <v>78</v>
      </c>
      <c r="C74" s="72">
        <v>20015</v>
      </c>
      <c r="D74" s="72">
        <v>22633</v>
      </c>
      <c r="E74" s="72">
        <v>25366</v>
      </c>
      <c r="F74" s="72">
        <v>21816</v>
      </c>
      <c r="G74" s="72">
        <v>23274</v>
      </c>
      <c r="H74" s="74">
        <v>26301</v>
      </c>
      <c r="I74" s="74">
        <v>29040</v>
      </c>
      <c r="J74" s="74">
        <v>32899.7</v>
      </c>
      <c r="K74" s="74">
        <v>26650</v>
      </c>
      <c r="L74" s="74">
        <v>28130</v>
      </c>
      <c r="M74" s="78">
        <f>L74/K74*100</f>
        <v>105.55347091932458</v>
      </c>
      <c r="N74" s="77">
        <f t="shared" si="58"/>
        <v>96.866391184573</v>
      </c>
      <c r="O74" s="78">
        <v>129</v>
      </c>
      <c r="P74" s="78">
        <f t="shared" si="59"/>
        <v>120.86448397353269</v>
      </c>
      <c r="Q74" s="78">
        <f>P74-O74</f>
        <v>-8.135516026467315</v>
      </c>
      <c r="R74" s="71">
        <f t="shared" si="66"/>
        <v>128.30822250695886</v>
      </c>
      <c r="U74" s="39">
        <v>62</v>
      </c>
      <c r="V74" s="66" t="s">
        <v>78</v>
      </c>
      <c r="W74" s="72">
        <v>20015</v>
      </c>
      <c r="X74" s="72">
        <v>22633</v>
      </c>
      <c r="Y74" s="72">
        <v>25366</v>
      </c>
      <c r="Z74" s="72">
        <v>21816</v>
      </c>
      <c r="AA74" s="72">
        <v>23274</v>
      </c>
      <c r="AB74" s="74">
        <v>13951</v>
      </c>
      <c r="AC74" s="74">
        <v>14998</v>
      </c>
      <c r="AD74" s="74">
        <v>19176.7</v>
      </c>
      <c r="AE74" s="74">
        <v>13995</v>
      </c>
      <c r="AF74" s="74">
        <v>14924</v>
      </c>
      <c r="AG74" s="78">
        <f>AF74/AE74*100</f>
        <v>106.63808503036798</v>
      </c>
      <c r="AH74" s="77">
        <f t="shared" si="60"/>
        <v>99.50660088011735</v>
      </c>
      <c r="AI74" s="78">
        <v>75</v>
      </c>
      <c r="AJ74" s="78">
        <f t="shared" si="61"/>
        <v>64.12305577038757</v>
      </c>
      <c r="AK74" s="78">
        <f t="shared" si="62"/>
        <v>-10.876944229612434</v>
      </c>
      <c r="AL74" s="71">
        <f t="shared" si="67"/>
        <v>66.26607166526753</v>
      </c>
      <c r="AM74" s="39">
        <v>62</v>
      </c>
      <c r="AN74" s="97" t="s">
        <v>78</v>
      </c>
      <c r="AO74" s="72">
        <v>20015</v>
      </c>
      <c r="AP74" s="72">
        <v>22633</v>
      </c>
      <c r="AQ74" s="72">
        <v>25366</v>
      </c>
      <c r="AR74" s="72">
        <v>21816</v>
      </c>
      <c r="AS74" s="72">
        <v>23274</v>
      </c>
      <c r="AT74" s="74">
        <v>7058</v>
      </c>
      <c r="AU74" s="74">
        <v>7490</v>
      </c>
      <c r="AV74" s="74">
        <v>12708.37</v>
      </c>
      <c r="AW74" s="74">
        <v>7061</v>
      </c>
      <c r="AX74" s="74">
        <v>7853</v>
      </c>
      <c r="AY74" s="78">
        <f>AX74/AW74*100</f>
        <v>111.21654156635037</v>
      </c>
      <c r="AZ74" s="77">
        <f t="shared" si="63"/>
        <v>104.84646194926567</v>
      </c>
      <c r="BA74" s="78">
        <v>50</v>
      </c>
      <c r="BB74" s="78">
        <f t="shared" si="64"/>
        <v>33.741514135945685</v>
      </c>
      <c r="BC74" s="78">
        <f t="shared" si="65"/>
        <v>-16.258485864054315</v>
      </c>
      <c r="BD74" s="71">
        <f t="shared" si="68"/>
        <v>33.09327088764194</v>
      </c>
      <c r="CK74" s="40">
        <v>14365</v>
      </c>
      <c r="CL74" s="40">
        <v>15681</v>
      </c>
      <c r="CM74" s="40">
        <v>14461</v>
      </c>
      <c r="CN74" s="40">
        <v>15603</v>
      </c>
      <c r="CO74" s="40">
        <v>17240.92</v>
      </c>
    </row>
    <row r="75" spans="1:93" ht="15" customHeight="1">
      <c r="A75" s="62"/>
      <c r="B75" s="68" t="s">
        <v>109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8"/>
      <c r="N75" s="77"/>
      <c r="O75" s="77"/>
      <c r="P75" s="77"/>
      <c r="Q75" s="77"/>
      <c r="R75" s="71"/>
      <c r="U75" s="39"/>
      <c r="V75" s="68" t="s">
        <v>109</v>
      </c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8"/>
      <c r="AH75" s="77"/>
      <c r="AI75" s="77"/>
      <c r="AJ75" s="77"/>
      <c r="AK75" s="77"/>
      <c r="AL75" s="71"/>
      <c r="AM75" s="39"/>
      <c r="AN75" s="96" t="s">
        <v>109</v>
      </c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8"/>
      <c r="AZ75" s="77"/>
      <c r="BA75" s="77"/>
      <c r="BB75" s="77"/>
      <c r="BC75" s="77"/>
      <c r="BD75" s="71"/>
      <c r="CK75" s="41"/>
      <c r="CL75" s="41"/>
      <c r="CM75" s="41"/>
      <c r="CN75" s="41"/>
      <c r="CO75" s="41"/>
    </row>
    <row r="76" spans="1:93" ht="18.75">
      <c r="A76" s="62">
        <v>63</v>
      </c>
      <c r="B76" s="66" t="s">
        <v>79</v>
      </c>
      <c r="C76" s="71">
        <v>15632</v>
      </c>
      <c r="D76" s="71">
        <v>17721</v>
      </c>
      <c r="E76" s="71">
        <v>19795</v>
      </c>
      <c r="F76" s="71"/>
      <c r="G76" s="71">
        <v>19795</v>
      </c>
      <c r="H76" s="71">
        <v>32509</v>
      </c>
      <c r="I76" s="71">
        <v>37161</v>
      </c>
      <c r="J76" s="71">
        <v>44880</v>
      </c>
      <c r="K76" s="71"/>
      <c r="L76" s="71">
        <v>38846</v>
      </c>
      <c r="M76" s="78"/>
      <c r="N76" s="77">
        <f aca="true" t="shared" si="69" ref="N76:N87">L76/I76*100</f>
        <v>104.53432361884771</v>
      </c>
      <c r="O76" s="77">
        <v>167</v>
      </c>
      <c r="P76" s="78">
        <f aca="true" t="shared" si="70" ref="P76:P87">L76/G76*100</f>
        <v>196.2414751199798</v>
      </c>
      <c r="Q76" s="78">
        <f aca="true" t="shared" si="71" ref="Q76:Q87">P76-O76</f>
        <v>29.24147511997981</v>
      </c>
      <c r="R76" s="71">
        <f t="shared" si="66"/>
        <v>209.70035551041138</v>
      </c>
      <c r="U76" s="39">
        <v>63</v>
      </c>
      <c r="V76" s="66" t="s">
        <v>79</v>
      </c>
      <c r="W76" s="71">
        <v>15632</v>
      </c>
      <c r="X76" s="71">
        <v>17721</v>
      </c>
      <c r="Y76" s="71">
        <v>19795</v>
      </c>
      <c r="Z76" s="71"/>
      <c r="AA76" s="71">
        <v>19795</v>
      </c>
      <c r="AB76" s="71">
        <v>14041</v>
      </c>
      <c r="AC76" s="71">
        <v>15988</v>
      </c>
      <c r="AD76" s="71">
        <v>17568</v>
      </c>
      <c r="AE76" s="71"/>
      <c r="AF76" s="71">
        <v>17645</v>
      </c>
      <c r="AG76" s="78"/>
      <c r="AH76" s="77">
        <f aca="true" t="shared" si="72" ref="AH76:AH87">AF76/AC76*100</f>
        <v>110.36402301726295</v>
      </c>
      <c r="AI76" s="77">
        <v>83</v>
      </c>
      <c r="AJ76" s="78">
        <f aca="true" t="shared" si="73" ref="AJ76:AJ87">AF76/AA76*100</f>
        <v>89.13867138166204</v>
      </c>
      <c r="AK76" s="78">
        <f aca="true" t="shared" si="74" ref="AK76:AK87">AJ76-AI76</f>
        <v>6.138671381662036</v>
      </c>
      <c r="AL76" s="71">
        <f t="shared" si="67"/>
        <v>90.22064217594944</v>
      </c>
      <c r="AM76" s="39">
        <v>63</v>
      </c>
      <c r="AN76" s="97" t="s">
        <v>79</v>
      </c>
      <c r="AO76" s="71">
        <v>15632</v>
      </c>
      <c r="AP76" s="71">
        <v>17721</v>
      </c>
      <c r="AQ76" s="71">
        <v>19795</v>
      </c>
      <c r="AR76" s="71"/>
      <c r="AS76" s="71">
        <v>19795</v>
      </c>
      <c r="AT76" s="71">
        <v>7196</v>
      </c>
      <c r="AU76" s="71">
        <v>8164</v>
      </c>
      <c r="AV76" s="71">
        <v>8862</v>
      </c>
      <c r="AW76" s="71"/>
      <c r="AX76" s="71">
        <v>8885</v>
      </c>
      <c r="AY76" s="78"/>
      <c r="AZ76" s="77">
        <f aca="true" t="shared" si="75" ref="AZ76:AZ87">AX76/AU76*100</f>
        <v>108.83145516903478</v>
      </c>
      <c r="BA76" s="77">
        <v>45</v>
      </c>
      <c r="BB76" s="78">
        <f aca="true" t="shared" si="76" ref="BB76:BB87">AX76/AS76*100</f>
        <v>44.885071987875726</v>
      </c>
      <c r="BC76" s="78">
        <f aca="true" t="shared" si="77" ref="BC76:BC87">BB76-BA76</f>
        <v>-0.11492801212427395</v>
      </c>
      <c r="BD76" s="71">
        <f t="shared" si="68"/>
        <v>46.06963489645054</v>
      </c>
      <c r="CK76" s="41">
        <v>14335</v>
      </c>
      <c r="CL76" s="41">
        <v>16218</v>
      </c>
      <c r="CM76" s="41"/>
      <c r="CN76" s="41">
        <v>17490</v>
      </c>
      <c r="CO76" s="41">
        <v>14321</v>
      </c>
    </row>
    <row r="77" spans="1:93" s="69" customFormat="1" ht="18.75">
      <c r="A77" s="130">
        <v>64</v>
      </c>
      <c r="B77" s="131" t="s">
        <v>80</v>
      </c>
      <c r="C77" s="78">
        <v>19924</v>
      </c>
      <c r="D77" s="78">
        <v>22900</v>
      </c>
      <c r="E77" s="78">
        <v>24860</v>
      </c>
      <c r="F77" s="78">
        <v>21131</v>
      </c>
      <c r="G77" s="78">
        <v>23300</v>
      </c>
      <c r="H77" s="77">
        <v>31516.202578077966</v>
      </c>
      <c r="I77" s="77">
        <v>35533.18556165208</v>
      </c>
      <c r="J77" s="77">
        <v>38666.19538252714</v>
      </c>
      <c r="K77" s="76">
        <v>29033</v>
      </c>
      <c r="L77" s="77">
        <v>36998.388503569586</v>
      </c>
      <c r="M77" s="78">
        <f aca="true" t="shared" si="78" ref="M77:M87">L77/K77*100</f>
        <v>127.43563704601517</v>
      </c>
      <c r="N77" s="77">
        <f t="shared" si="69"/>
        <v>104.12347758513039</v>
      </c>
      <c r="O77" s="78">
        <v>129</v>
      </c>
      <c r="P77" s="78">
        <f t="shared" si="70"/>
        <v>158.7913669681098</v>
      </c>
      <c r="Q77" s="78">
        <f t="shared" si="71"/>
        <v>29.7913669681098</v>
      </c>
      <c r="R77" s="77">
        <f t="shared" si="66"/>
        <v>155.16674917752</v>
      </c>
      <c r="S77" s="134"/>
      <c r="U77" s="135">
        <v>64</v>
      </c>
      <c r="V77" s="131" t="s">
        <v>80</v>
      </c>
      <c r="W77" s="78">
        <v>19924</v>
      </c>
      <c r="X77" s="78">
        <v>22900</v>
      </c>
      <c r="Y77" s="78">
        <v>24860</v>
      </c>
      <c r="Z77" s="78">
        <v>21131</v>
      </c>
      <c r="AA77" s="78">
        <v>23300</v>
      </c>
      <c r="AB77" s="77">
        <v>16855.26949060585</v>
      </c>
      <c r="AC77" s="77">
        <v>18794.89258207415</v>
      </c>
      <c r="AD77" s="77">
        <v>21001.08817109646</v>
      </c>
      <c r="AE77" s="76">
        <v>15768</v>
      </c>
      <c r="AF77" s="77">
        <v>20098.114114667165</v>
      </c>
      <c r="AG77" s="78">
        <f aca="true" t="shared" si="79" ref="AG77:AG87">AF77/AE77*100</f>
        <v>127.46140356841175</v>
      </c>
      <c r="AH77" s="77">
        <f t="shared" si="72"/>
        <v>106.93391317296476</v>
      </c>
      <c r="AI77" s="78">
        <v>75</v>
      </c>
      <c r="AJ77" s="78">
        <f t="shared" si="73"/>
        <v>86.25800049213376</v>
      </c>
      <c r="AK77" s="78">
        <f t="shared" si="74"/>
        <v>11.25800049213376</v>
      </c>
      <c r="AL77" s="77">
        <f t="shared" si="67"/>
        <v>82.07376673394825</v>
      </c>
      <c r="AM77" s="135">
        <v>64</v>
      </c>
      <c r="AN77" s="136" t="s">
        <v>80</v>
      </c>
      <c r="AO77" s="78">
        <v>19924</v>
      </c>
      <c r="AP77" s="78">
        <v>22900</v>
      </c>
      <c r="AQ77" s="78">
        <v>24860</v>
      </c>
      <c r="AR77" s="78">
        <v>21131</v>
      </c>
      <c r="AS77" s="78">
        <v>23300</v>
      </c>
      <c r="AT77" s="77">
        <v>9957.761921031735</v>
      </c>
      <c r="AU77" s="77">
        <v>11477.44592187217</v>
      </c>
      <c r="AV77" s="77">
        <v>13428.630984759973</v>
      </c>
      <c r="AW77" s="76">
        <v>10771</v>
      </c>
      <c r="AX77" s="77">
        <v>12887.26539936813</v>
      </c>
      <c r="AY77" s="78">
        <f aca="true" t="shared" si="80" ref="AY77:AY87">AX77/AW77*100</f>
        <v>119.64780799710455</v>
      </c>
      <c r="AZ77" s="77">
        <f t="shared" si="75"/>
        <v>112.28339028641656</v>
      </c>
      <c r="BA77" s="78">
        <v>50</v>
      </c>
      <c r="BB77" s="78">
        <f t="shared" si="76"/>
        <v>55.31015192861859</v>
      </c>
      <c r="BC77" s="78">
        <f t="shared" si="77"/>
        <v>5.310151928618588</v>
      </c>
      <c r="BD77" s="77">
        <f t="shared" si="68"/>
        <v>50.119851187214714</v>
      </c>
      <c r="BE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K77" s="139">
        <v>16786.017768812344</v>
      </c>
      <c r="CL77" s="139">
        <v>19115.65607325962</v>
      </c>
      <c r="CM77" s="149">
        <v>16425</v>
      </c>
      <c r="CN77" s="139">
        <v>20589.29191563385</v>
      </c>
      <c r="CO77" s="139">
        <v>21588.81226097703</v>
      </c>
    </row>
    <row r="78" spans="1:93" s="69" customFormat="1" ht="18.75">
      <c r="A78" s="130">
        <v>65</v>
      </c>
      <c r="B78" s="131" t="s">
        <v>81</v>
      </c>
      <c r="C78" s="152">
        <v>19063</v>
      </c>
      <c r="D78" s="152">
        <v>22500</v>
      </c>
      <c r="E78" s="152">
        <v>23100</v>
      </c>
      <c r="F78" s="77"/>
      <c r="G78" s="152">
        <v>23100</v>
      </c>
      <c r="H78" s="153">
        <v>26758.051368971348</v>
      </c>
      <c r="I78" s="153">
        <v>28856</v>
      </c>
      <c r="J78" s="153">
        <v>31605.864132504805</v>
      </c>
      <c r="K78" s="77"/>
      <c r="L78" s="153">
        <v>28869.3</v>
      </c>
      <c r="M78" s="78"/>
      <c r="N78" s="77">
        <f t="shared" si="69"/>
        <v>100.04609093429441</v>
      </c>
      <c r="O78" s="154">
        <v>129</v>
      </c>
      <c r="P78" s="78">
        <f t="shared" si="70"/>
        <v>124.97532467532466</v>
      </c>
      <c r="Q78" s="78">
        <f t="shared" si="71"/>
        <v>-4.024675324675343</v>
      </c>
      <c r="R78" s="77">
        <f t="shared" si="66"/>
        <v>128.24888888888887</v>
      </c>
      <c r="S78" s="134"/>
      <c r="U78" s="135">
        <v>65</v>
      </c>
      <c r="V78" s="131" t="s">
        <v>81</v>
      </c>
      <c r="W78" s="152">
        <v>19063</v>
      </c>
      <c r="X78" s="152">
        <v>22500</v>
      </c>
      <c r="Y78" s="152">
        <v>23100</v>
      </c>
      <c r="Z78" s="77"/>
      <c r="AA78" s="152">
        <v>23100</v>
      </c>
      <c r="AB78" s="153">
        <v>15662.750971271369</v>
      </c>
      <c r="AC78" s="153">
        <v>16489</v>
      </c>
      <c r="AD78" s="153">
        <v>18590.8</v>
      </c>
      <c r="AE78" s="77"/>
      <c r="AF78" s="153">
        <v>16578.8</v>
      </c>
      <c r="AG78" s="78"/>
      <c r="AH78" s="77">
        <f t="shared" si="72"/>
        <v>100.54460549457214</v>
      </c>
      <c r="AI78" s="152">
        <v>75</v>
      </c>
      <c r="AJ78" s="78">
        <f t="shared" si="73"/>
        <v>71.76969696969697</v>
      </c>
      <c r="AK78" s="78">
        <f t="shared" si="74"/>
        <v>-3.230303030303034</v>
      </c>
      <c r="AL78" s="77">
        <f t="shared" si="67"/>
        <v>73.28444444444445</v>
      </c>
      <c r="AM78" s="135">
        <v>65</v>
      </c>
      <c r="AN78" s="136" t="s">
        <v>81</v>
      </c>
      <c r="AO78" s="152">
        <v>19063</v>
      </c>
      <c r="AP78" s="152">
        <v>22500</v>
      </c>
      <c r="AQ78" s="152">
        <v>23100</v>
      </c>
      <c r="AR78" s="77"/>
      <c r="AS78" s="152">
        <v>23100</v>
      </c>
      <c r="AT78" s="153">
        <v>8636.73790493322</v>
      </c>
      <c r="AU78" s="153">
        <v>10129</v>
      </c>
      <c r="AV78" s="153">
        <v>10693.77750033153</v>
      </c>
      <c r="AW78" s="77"/>
      <c r="AX78" s="153">
        <v>10451</v>
      </c>
      <c r="AY78" s="78"/>
      <c r="AZ78" s="77">
        <f t="shared" si="75"/>
        <v>103.17899101589497</v>
      </c>
      <c r="BA78" s="77">
        <v>50</v>
      </c>
      <c r="BB78" s="78">
        <f t="shared" si="76"/>
        <v>45.24242424242424</v>
      </c>
      <c r="BC78" s="78">
        <f t="shared" si="77"/>
        <v>-4.757575757575758</v>
      </c>
      <c r="BD78" s="77">
        <f t="shared" si="68"/>
        <v>45.01777777777778</v>
      </c>
      <c r="BE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K78" s="155">
        <v>14929.092607892357</v>
      </c>
      <c r="CL78" s="155">
        <v>15932.6</v>
      </c>
      <c r="CM78" s="139"/>
      <c r="CN78" s="155">
        <v>15196</v>
      </c>
      <c r="CO78" s="155">
        <v>17314</v>
      </c>
    </row>
    <row r="79" spans="1:93" ht="18.75">
      <c r="A79" s="62">
        <v>66</v>
      </c>
      <c r="B79" s="66" t="s">
        <v>82</v>
      </c>
      <c r="C79" s="71">
        <v>20690</v>
      </c>
      <c r="D79" s="71">
        <v>23503</v>
      </c>
      <c r="E79" s="71">
        <v>26165</v>
      </c>
      <c r="F79" s="71">
        <v>21187</v>
      </c>
      <c r="G79" s="72">
        <v>24047</v>
      </c>
      <c r="H79" s="71">
        <v>32786</v>
      </c>
      <c r="I79" s="71">
        <v>36540</v>
      </c>
      <c r="J79" s="71">
        <v>39080</v>
      </c>
      <c r="K79" s="71">
        <v>26745</v>
      </c>
      <c r="L79" s="71">
        <v>34492</v>
      </c>
      <c r="M79" s="78">
        <f t="shared" si="78"/>
        <v>128.96616189942046</v>
      </c>
      <c r="N79" s="77">
        <f t="shared" si="69"/>
        <v>94.39518336070061</v>
      </c>
      <c r="O79" s="77">
        <v>149</v>
      </c>
      <c r="P79" s="78">
        <f t="shared" si="70"/>
        <v>143.43577161392273</v>
      </c>
      <c r="Q79" s="78">
        <f t="shared" si="71"/>
        <v>-5.564228386077275</v>
      </c>
      <c r="R79" s="71">
        <f t="shared" si="66"/>
        <v>155.46951453006</v>
      </c>
      <c r="U79" s="39">
        <v>66</v>
      </c>
      <c r="V79" s="66" t="s">
        <v>82</v>
      </c>
      <c r="W79" s="71">
        <v>20690</v>
      </c>
      <c r="X79" s="71">
        <v>23503</v>
      </c>
      <c r="Y79" s="71">
        <v>26165</v>
      </c>
      <c r="Z79" s="71">
        <v>21187</v>
      </c>
      <c r="AA79" s="72">
        <v>24047</v>
      </c>
      <c r="AB79" s="71">
        <v>17168</v>
      </c>
      <c r="AC79" s="71">
        <v>19400</v>
      </c>
      <c r="AD79" s="71">
        <v>20413</v>
      </c>
      <c r="AE79" s="71">
        <v>16022</v>
      </c>
      <c r="AF79" s="71">
        <v>18279</v>
      </c>
      <c r="AG79" s="78">
        <f t="shared" si="79"/>
        <v>114.08688053925853</v>
      </c>
      <c r="AH79" s="71">
        <f t="shared" si="72"/>
        <v>94.22164948453609</v>
      </c>
      <c r="AI79" s="77">
        <v>78</v>
      </c>
      <c r="AJ79" s="72">
        <f t="shared" si="73"/>
        <v>76.01363995508795</v>
      </c>
      <c r="AK79" s="72">
        <f t="shared" si="74"/>
        <v>-1.9863600449120469</v>
      </c>
      <c r="AL79" s="71">
        <f t="shared" si="67"/>
        <v>82.5426541292601</v>
      </c>
      <c r="AM79" s="39">
        <v>66</v>
      </c>
      <c r="AN79" s="97" t="s">
        <v>82</v>
      </c>
      <c r="AO79" s="71">
        <v>20690</v>
      </c>
      <c r="AP79" s="71">
        <v>23503</v>
      </c>
      <c r="AQ79" s="71">
        <v>26165</v>
      </c>
      <c r="AR79" s="71">
        <v>21187</v>
      </c>
      <c r="AS79" s="72">
        <v>24047</v>
      </c>
      <c r="AT79" s="71">
        <v>7501</v>
      </c>
      <c r="AU79" s="71">
        <v>9055</v>
      </c>
      <c r="AV79" s="71">
        <v>13108</v>
      </c>
      <c r="AW79" s="71">
        <v>7140</v>
      </c>
      <c r="AX79" s="71">
        <v>9946</v>
      </c>
      <c r="AY79" s="78">
        <f t="shared" si="80"/>
        <v>139.29971988795518</v>
      </c>
      <c r="AZ79" s="77">
        <f t="shared" si="75"/>
        <v>109.83986747653229</v>
      </c>
      <c r="BA79" s="77">
        <v>50</v>
      </c>
      <c r="BB79" s="78">
        <f t="shared" si="76"/>
        <v>41.36066869048114</v>
      </c>
      <c r="BC79" s="78">
        <f t="shared" si="77"/>
        <v>-8.639331309518859</v>
      </c>
      <c r="BD79" s="71">
        <f t="shared" si="68"/>
        <v>38.526996553631456</v>
      </c>
      <c r="CK79" s="41">
        <v>14546</v>
      </c>
      <c r="CL79" s="41">
        <v>18347</v>
      </c>
      <c r="CM79" s="41">
        <v>15165</v>
      </c>
      <c r="CN79" s="41">
        <v>18199</v>
      </c>
      <c r="CO79" s="41">
        <v>19986</v>
      </c>
    </row>
    <row r="80" spans="1:93" ht="18.75">
      <c r="A80" s="62">
        <v>67</v>
      </c>
      <c r="B80" s="66" t="s">
        <v>83</v>
      </c>
      <c r="C80" s="72">
        <v>13823</v>
      </c>
      <c r="D80" s="72">
        <v>16008</v>
      </c>
      <c r="E80" s="72">
        <v>18278</v>
      </c>
      <c r="F80" s="72">
        <v>14537</v>
      </c>
      <c r="G80" s="72">
        <v>16256</v>
      </c>
      <c r="H80" s="74">
        <v>23273</v>
      </c>
      <c r="I80" s="74">
        <v>29661</v>
      </c>
      <c r="J80" s="74">
        <v>32224</v>
      </c>
      <c r="K80" s="74">
        <v>26071</v>
      </c>
      <c r="L80" s="74">
        <v>28710</v>
      </c>
      <c r="M80" s="78">
        <f t="shared" si="78"/>
        <v>110.12235817575085</v>
      </c>
      <c r="N80" s="77">
        <f t="shared" si="69"/>
        <v>96.79376959643977</v>
      </c>
      <c r="O80" s="78">
        <v>176</v>
      </c>
      <c r="P80" s="78">
        <f t="shared" si="70"/>
        <v>176.6117125984252</v>
      </c>
      <c r="Q80" s="78">
        <f t="shared" si="71"/>
        <v>0.6117125984252141</v>
      </c>
      <c r="R80" s="71">
        <f t="shared" si="66"/>
        <v>185.2886056971514</v>
      </c>
      <c r="U80" s="39">
        <v>67</v>
      </c>
      <c r="V80" s="66" t="s">
        <v>83</v>
      </c>
      <c r="W80" s="72">
        <v>13823</v>
      </c>
      <c r="X80" s="72">
        <v>16008</v>
      </c>
      <c r="Y80" s="72">
        <v>18278</v>
      </c>
      <c r="Z80" s="72">
        <v>14537</v>
      </c>
      <c r="AA80" s="72">
        <v>16256</v>
      </c>
      <c r="AB80" s="72">
        <v>11692</v>
      </c>
      <c r="AC80" s="72">
        <v>15100</v>
      </c>
      <c r="AD80" s="72">
        <v>16414</v>
      </c>
      <c r="AE80" s="72">
        <v>13586</v>
      </c>
      <c r="AF80" s="72">
        <v>15204</v>
      </c>
      <c r="AG80" s="78">
        <f t="shared" si="79"/>
        <v>111.90931841601648</v>
      </c>
      <c r="AH80" s="71">
        <f t="shared" si="72"/>
        <v>100.68874172185431</v>
      </c>
      <c r="AI80" s="78">
        <v>89</v>
      </c>
      <c r="AJ80" s="72">
        <f t="shared" si="73"/>
        <v>93.52854330708661</v>
      </c>
      <c r="AK80" s="72">
        <f t="shared" si="74"/>
        <v>4.528543307086608</v>
      </c>
      <c r="AL80" s="71">
        <f t="shared" si="67"/>
        <v>94.32783608195902</v>
      </c>
      <c r="AM80" s="39">
        <v>67</v>
      </c>
      <c r="AN80" s="97" t="s">
        <v>83</v>
      </c>
      <c r="AO80" s="72">
        <v>13823</v>
      </c>
      <c r="AP80" s="72">
        <v>16008</v>
      </c>
      <c r="AQ80" s="72">
        <v>18278</v>
      </c>
      <c r="AR80" s="72">
        <v>14537</v>
      </c>
      <c r="AS80" s="72">
        <v>16256</v>
      </c>
      <c r="AT80" s="72">
        <v>6054</v>
      </c>
      <c r="AU80" s="72">
        <v>6952</v>
      </c>
      <c r="AV80" s="72">
        <v>9157</v>
      </c>
      <c r="AW80" s="72">
        <v>6521</v>
      </c>
      <c r="AX80" s="72">
        <v>7150</v>
      </c>
      <c r="AY80" s="78">
        <f t="shared" si="80"/>
        <v>109.64575985278331</v>
      </c>
      <c r="AZ80" s="77">
        <f t="shared" si="75"/>
        <v>102.84810126582278</v>
      </c>
      <c r="BA80" s="78">
        <v>50</v>
      </c>
      <c r="BB80" s="78">
        <f t="shared" si="76"/>
        <v>43.98375984251969</v>
      </c>
      <c r="BC80" s="78">
        <f t="shared" si="77"/>
        <v>-6.016240157480311</v>
      </c>
      <c r="BD80" s="71">
        <f t="shared" si="68"/>
        <v>43.428285857071465</v>
      </c>
      <c r="CK80" s="42">
        <v>11788</v>
      </c>
      <c r="CL80" s="42">
        <v>14837</v>
      </c>
      <c r="CM80" s="42">
        <v>13382</v>
      </c>
      <c r="CN80" s="42">
        <v>15231</v>
      </c>
      <c r="CO80" s="42">
        <v>17125</v>
      </c>
    </row>
    <row r="81" spans="1:93" s="69" customFormat="1" ht="18.75">
      <c r="A81" s="130">
        <v>68</v>
      </c>
      <c r="B81" s="131" t="s">
        <v>84</v>
      </c>
      <c r="C81" s="77">
        <v>21099.6</v>
      </c>
      <c r="D81" s="77">
        <v>23849</v>
      </c>
      <c r="E81" s="77">
        <v>26204</v>
      </c>
      <c r="F81" s="77"/>
      <c r="G81" s="77">
        <v>24131</v>
      </c>
      <c r="H81" s="77">
        <v>30191</v>
      </c>
      <c r="I81" s="77">
        <v>35802</v>
      </c>
      <c r="J81" s="77">
        <v>41194</v>
      </c>
      <c r="K81" s="77"/>
      <c r="L81" s="77">
        <v>32035</v>
      </c>
      <c r="M81" s="78"/>
      <c r="N81" s="77">
        <f t="shared" si="69"/>
        <v>89.47824143902575</v>
      </c>
      <c r="O81" s="77">
        <v>157</v>
      </c>
      <c r="P81" s="78">
        <f t="shared" si="70"/>
        <v>132.75454809166632</v>
      </c>
      <c r="Q81" s="78">
        <f t="shared" si="71"/>
        <v>-24.245451908333678</v>
      </c>
      <c r="R81" s="77">
        <f t="shared" si="66"/>
        <v>150.11950186590633</v>
      </c>
      <c r="S81" s="134"/>
      <c r="U81" s="135">
        <v>68</v>
      </c>
      <c r="V81" s="131" t="s">
        <v>84</v>
      </c>
      <c r="W81" s="77">
        <v>21099.6</v>
      </c>
      <c r="X81" s="77">
        <v>23849</v>
      </c>
      <c r="Y81" s="77">
        <v>26204</v>
      </c>
      <c r="Z81" s="77"/>
      <c r="AA81" s="77">
        <v>24131</v>
      </c>
      <c r="AB81" s="77">
        <v>16617</v>
      </c>
      <c r="AC81" s="77">
        <v>19665</v>
      </c>
      <c r="AD81" s="77">
        <v>21954</v>
      </c>
      <c r="AE81" s="77"/>
      <c r="AF81" s="77">
        <v>17670</v>
      </c>
      <c r="AG81" s="78"/>
      <c r="AH81" s="77">
        <f t="shared" si="72"/>
        <v>89.85507246376811</v>
      </c>
      <c r="AI81" s="77">
        <v>83</v>
      </c>
      <c r="AJ81" s="78">
        <f t="shared" si="73"/>
        <v>73.2253118395425</v>
      </c>
      <c r="AK81" s="78">
        <f t="shared" si="74"/>
        <v>-9.7746881604575</v>
      </c>
      <c r="AL81" s="77">
        <f t="shared" si="67"/>
        <v>82.45628747536584</v>
      </c>
      <c r="AM81" s="135">
        <v>68</v>
      </c>
      <c r="AN81" s="136" t="s">
        <v>84</v>
      </c>
      <c r="AO81" s="77">
        <v>21099.6</v>
      </c>
      <c r="AP81" s="77">
        <v>23849</v>
      </c>
      <c r="AQ81" s="77">
        <v>26204</v>
      </c>
      <c r="AR81" s="77"/>
      <c r="AS81" s="77">
        <v>24131</v>
      </c>
      <c r="AT81" s="77">
        <v>6971</v>
      </c>
      <c r="AU81" s="77">
        <v>7772</v>
      </c>
      <c r="AV81" s="77">
        <v>13321</v>
      </c>
      <c r="AW81" s="77"/>
      <c r="AX81" s="77">
        <v>9192</v>
      </c>
      <c r="AY81" s="78"/>
      <c r="AZ81" s="77">
        <f t="shared" si="75"/>
        <v>118.27071538857436</v>
      </c>
      <c r="BA81" s="77">
        <v>50</v>
      </c>
      <c r="BB81" s="78">
        <f t="shared" si="76"/>
        <v>38.09208072603705</v>
      </c>
      <c r="BC81" s="78">
        <f t="shared" si="77"/>
        <v>-11.907919273962953</v>
      </c>
      <c r="BD81" s="77">
        <f t="shared" si="68"/>
        <v>32.58836848505178</v>
      </c>
      <c r="BE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K81" s="139">
        <v>15824</v>
      </c>
      <c r="CL81" s="139">
        <v>18434</v>
      </c>
      <c r="CM81" s="139"/>
      <c r="CN81" s="139">
        <v>17425</v>
      </c>
      <c r="CO81" s="139">
        <v>17665</v>
      </c>
    </row>
    <row r="82" spans="1:93" ht="18.75">
      <c r="A82" s="62">
        <v>69</v>
      </c>
      <c r="B82" s="66" t="s">
        <v>85</v>
      </c>
      <c r="C82" s="74">
        <v>25658</v>
      </c>
      <c r="D82" s="74">
        <v>28366</v>
      </c>
      <c r="E82" s="74">
        <v>31472</v>
      </c>
      <c r="F82" s="74">
        <v>26528</v>
      </c>
      <c r="G82" s="74">
        <v>28713</v>
      </c>
      <c r="H82" s="74">
        <v>33339</v>
      </c>
      <c r="I82" s="74">
        <v>36962</v>
      </c>
      <c r="J82" s="74">
        <v>41058</v>
      </c>
      <c r="K82" s="74">
        <v>35680</v>
      </c>
      <c r="L82" s="74">
        <v>40094</v>
      </c>
      <c r="M82" s="78">
        <f t="shared" si="78"/>
        <v>112.37107623318386</v>
      </c>
      <c r="N82" s="77">
        <f t="shared" si="69"/>
        <v>108.47356744764893</v>
      </c>
      <c r="O82" s="76">
        <v>131</v>
      </c>
      <c r="P82" s="78">
        <f t="shared" si="70"/>
        <v>139.6370981785254</v>
      </c>
      <c r="Q82" s="78">
        <f t="shared" si="71"/>
        <v>8.637098178525406</v>
      </c>
      <c r="R82" s="71">
        <f t="shared" si="66"/>
        <v>130.30388493266588</v>
      </c>
      <c r="U82" s="39">
        <v>69</v>
      </c>
      <c r="V82" s="66" t="s">
        <v>85</v>
      </c>
      <c r="W82" s="74">
        <v>25658</v>
      </c>
      <c r="X82" s="74">
        <v>28366</v>
      </c>
      <c r="Y82" s="74">
        <v>31472</v>
      </c>
      <c r="Z82" s="74">
        <v>26528</v>
      </c>
      <c r="AA82" s="74">
        <v>28713</v>
      </c>
      <c r="AB82" s="74">
        <v>16874</v>
      </c>
      <c r="AC82" s="74">
        <v>21093</v>
      </c>
      <c r="AD82" s="74">
        <v>23793</v>
      </c>
      <c r="AE82" s="74">
        <v>19290</v>
      </c>
      <c r="AF82" s="74">
        <v>22069</v>
      </c>
      <c r="AG82" s="78">
        <f t="shared" si="79"/>
        <v>114.40642820114049</v>
      </c>
      <c r="AH82" s="71">
        <f t="shared" si="72"/>
        <v>104.62712748305125</v>
      </c>
      <c r="AI82" s="76">
        <v>76</v>
      </c>
      <c r="AJ82" s="72">
        <f t="shared" si="73"/>
        <v>76.86065545223418</v>
      </c>
      <c r="AK82" s="72">
        <f t="shared" si="74"/>
        <v>0.8606554522341838</v>
      </c>
      <c r="AL82" s="71">
        <f t="shared" si="67"/>
        <v>74.36014947472326</v>
      </c>
      <c r="AM82" s="39">
        <v>69</v>
      </c>
      <c r="AN82" s="97" t="s">
        <v>85</v>
      </c>
      <c r="AO82" s="74">
        <v>25658</v>
      </c>
      <c r="AP82" s="74">
        <v>28366</v>
      </c>
      <c r="AQ82" s="74">
        <v>31472</v>
      </c>
      <c r="AR82" s="74">
        <v>26528</v>
      </c>
      <c r="AS82" s="74">
        <v>28713</v>
      </c>
      <c r="AT82" s="72">
        <v>7843.46</v>
      </c>
      <c r="AU82" s="72">
        <v>10786.88</v>
      </c>
      <c r="AV82" s="72">
        <v>15767</v>
      </c>
      <c r="AW82" s="88">
        <v>8721</v>
      </c>
      <c r="AX82" s="72">
        <v>11221</v>
      </c>
      <c r="AY82" s="78">
        <f t="shared" si="80"/>
        <v>128.66643733516798</v>
      </c>
      <c r="AZ82" s="77">
        <f t="shared" si="75"/>
        <v>104.02451867453797</v>
      </c>
      <c r="BA82" s="76">
        <v>50</v>
      </c>
      <c r="BB82" s="78">
        <f t="shared" si="76"/>
        <v>39.07985929718246</v>
      </c>
      <c r="BC82" s="78">
        <f t="shared" si="77"/>
        <v>-10.920140702817541</v>
      </c>
      <c r="BD82" s="71">
        <f t="shared" si="68"/>
        <v>38.02749770852429</v>
      </c>
      <c r="CK82" s="42">
        <v>16542.29</v>
      </c>
      <c r="CL82" s="42">
        <v>19054.24</v>
      </c>
      <c r="CM82" s="42">
        <v>18710</v>
      </c>
      <c r="CN82" s="42">
        <v>22202.2</v>
      </c>
      <c r="CO82" s="42">
        <v>23385.19</v>
      </c>
    </row>
    <row r="83" spans="1:93" s="69" customFormat="1" ht="18.75">
      <c r="A83" s="130">
        <v>70</v>
      </c>
      <c r="B83" s="131" t="s">
        <v>86</v>
      </c>
      <c r="C83" s="156">
        <v>22647.7</v>
      </c>
      <c r="D83" s="156">
        <v>26045</v>
      </c>
      <c r="E83" s="156">
        <v>28130</v>
      </c>
      <c r="F83" s="156"/>
      <c r="G83" s="156">
        <v>26430</v>
      </c>
      <c r="H83" s="156">
        <v>28113.34190617573</v>
      </c>
      <c r="I83" s="156">
        <v>36638.34821821514</v>
      </c>
      <c r="J83" s="156">
        <v>36484.6</v>
      </c>
      <c r="K83" s="156">
        <v>31813</v>
      </c>
      <c r="L83" s="156">
        <v>36376.55634869132</v>
      </c>
      <c r="M83" s="78">
        <f t="shared" si="78"/>
        <v>114.34494184355867</v>
      </c>
      <c r="N83" s="77">
        <f t="shared" si="69"/>
        <v>99.28547032752512</v>
      </c>
      <c r="O83" s="156">
        <v>138</v>
      </c>
      <c r="P83" s="78">
        <f t="shared" si="70"/>
        <v>137.63358436886614</v>
      </c>
      <c r="Q83" s="78">
        <f t="shared" si="71"/>
        <v>-0.36641563113386155</v>
      </c>
      <c r="R83" s="77">
        <f t="shared" si="66"/>
        <v>140.67325098182047</v>
      </c>
      <c r="S83" s="134"/>
      <c r="U83" s="135">
        <v>70</v>
      </c>
      <c r="V83" s="131" t="s">
        <v>86</v>
      </c>
      <c r="W83" s="156">
        <v>22647.7</v>
      </c>
      <c r="X83" s="156">
        <v>26045</v>
      </c>
      <c r="Y83" s="156">
        <v>28130</v>
      </c>
      <c r="Z83" s="156"/>
      <c r="AA83" s="156">
        <v>26430</v>
      </c>
      <c r="AB83" s="156">
        <v>15776</v>
      </c>
      <c r="AC83" s="156">
        <v>20034.576832688956</v>
      </c>
      <c r="AD83" s="156">
        <v>21266.3</v>
      </c>
      <c r="AE83" s="156">
        <v>17242</v>
      </c>
      <c r="AF83" s="156">
        <v>19406.85309723294</v>
      </c>
      <c r="AG83" s="78">
        <f t="shared" si="79"/>
        <v>112.55569595889652</v>
      </c>
      <c r="AH83" s="77">
        <f t="shared" si="72"/>
        <v>96.86679813255749</v>
      </c>
      <c r="AI83" s="156">
        <v>75</v>
      </c>
      <c r="AJ83" s="78">
        <f t="shared" si="73"/>
        <v>73.4273669967194</v>
      </c>
      <c r="AK83" s="78">
        <f t="shared" si="74"/>
        <v>-1.5726330032806004</v>
      </c>
      <c r="AL83" s="77">
        <f t="shared" si="67"/>
        <v>76.92292890262605</v>
      </c>
      <c r="AM83" s="135">
        <v>70</v>
      </c>
      <c r="AN83" s="136" t="s">
        <v>86</v>
      </c>
      <c r="AO83" s="156">
        <v>22647.7</v>
      </c>
      <c r="AP83" s="156">
        <v>26045</v>
      </c>
      <c r="AQ83" s="156">
        <v>28130</v>
      </c>
      <c r="AR83" s="156"/>
      <c r="AS83" s="156">
        <v>26430</v>
      </c>
      <c r="AT83" s="156">
        <v>8630</v>
      </c>
      <c r="AU83" s="156">
        <v>10531.24131713517</v>
      </c>
      <c r="AV83" s="156">
        <v>14093.13</v>
      </c>
      <c r="AW83" s="156">
        <v>9653</v>
      </c>
      <c r="AX83" s="156">
        <v>10901.493731661774</v>
      </c>
      <c r="AY83" s="78">
        <f t="shared" si="80"/>
        <v>112.93373802612425</v>
      </c>
      <c r="AZ83" s="77">
        <f t="shared" si="75"/>
        <v>103.5157528289108</v>
      </c>
      <c r="BA83" s="156">
        <v>50</v>
      </c>
      <c r="BB83" s="78">
        <f t="shared" si="76"/>
        <v>41.24666565138772</v>
      </c>
      <c r="BC83" s="78">
        <f t="shared" si="77"/>
        <v>-8.753334348612277</v>
      </c>
      <c r="BD83" s="77">
        <f t="shared" si="68"/>
        <v>40.434791004550476</v>
      </c>
      <c r="BE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K83" s="157">
        <v>16791.88124031008</v>
      </c>
      <c r="CL83" s="157">
        <v>20569.95117370892</v>
      </c>
      <c r="CM83" s="157">
        <v>17826</v>
      </c>
      <c r="CN83" s="157">
        <v>20086.80593218754</v>
      </c>
      <c r="CO83" s="157">
        <v>22050.808971004855</v>
      </c>
    </row>
    <row r="84" spans="1:93" ht="18.75">
      <c r="A84" s="62">
        <v>71</v>
      </c>
      <c r="B84" s="66" t="s">
        <v>87</v>
      </c>
      <c r="C84" s="72">
        <v>20479</v>
      </c>
      <c r="D84" s="72">
        <v>23661</v>
      </c>
      <c r="E84" s="72">
        <v>25948</v>
      </c>
      <c r="F84" s="72">
        <v>21824</v>
      </c>
      <c r="G84" s="72">
        <v>23506</v>
      </c>
      <c r="H84" s="74">
        <v>29553</v>
      </c>
      <c r="I84" s="74">
        <v>35148.2</v>
      </c>
      <c r="J84" s="74">
        <v>35510</v>
      </c>
      <c r="K84" s="74">
        <v>29723.2</v>
      </c>
      <c r="L84" s="74">
        <v>34999.6</v>
      </c>
      <c r="M84" s="78">
        <f t="shared" si="78"/>
        <v>117.75178984766109</v>
      </c>
      <c r="N84" s="77">
        <f t="shared" si="69"/>
        <v>99.577218748044</v>
      </c>
      <c r="O84" s="78">
        <v>129</v>
      </c>
      <c r="P84" s="78">
        <f t="shared" si="70"/>
        <v>148.89645196970986</v>
      </c>
      <c r="Q84" s="78">
        <f t="shared" si="71"/>
        <v>19.896451969709858</v>
      </c>
      <c r="R84" s="71">
        <f t="shared" si="66"/>
        <v>148.54908921854528</v>
      </c>
      <c r="U84" s="39">
        <v>71</v>
      </c>
      <c r="V84" s="66" t="s">
        <v>87</v>
      </c>
      <c r="W84" s="72">
        <v>20479</v>
      </c>
      <c r="X84" s="72">
        <v>23661</v>
      </c>
      <c r="Y84" s="72">
        <v>25948</v>
      </c>
      <c r="Z84" s="72">
        <v>21824</v>
      </c>
      <c r="AA84" s="72">
        <v>23506</v>
      </c>
      <c r="AB84" s="72">
        <v>14946</v>
      </c>
      <c r="AC84" s="72">
        <v>17741.7</v>
      </c>
      <c r="AD84" s="72">
        <v>19617</v>
      </c>
      <c r="AE84" s="72">
        <v>15766.8</v>
      </c>
      <c r="AF84" s="72">
        <v>18033.9</v>
      </c>
      <c r="AG84" s="78">
        <f t="shared" si="79"/>
        <v>114.37894816957153</v>
      </c>
      <c r="AH84" s="71">
        <f t="shared" si="72"/>
        <v>101.64696731429346</v>
      </c>
      <c r="AI84" s="78">
        <v>75</v>
      </c>
      <c r="AJ84" s="72">
        <f t="shared" si="73"/>
        <v>76.72041180975071</v>
      </c>
      <c r="AK84" s="72">
        <f t="shared" si="74"/>
        <v>1.7204118097507148</v>
      </c>
      <c r="AL84" s="71">
        <f t="shared" si="67"/>
        <v>74.98288322556105</v>
      </c>
      <c r="AM84" s="39">
        <v>71</v>
      </c>
      <c r="AN84" s="97" t="s">
        <v>87</v>
      </c>
      <c r="AO84" s="72">
        <v>20479</v>
      </c>
      <c r="AP84" s="72">
        <v>23661</v>
      </c>
      <c r="AQ84" s="72">
        <v>25948</v>
      </c>
      <c r="AR84" s="72">
        <v>21824</v>
      </c>
      <c r="AS84" s="72">
        <v>23506</v>
      </c>
      <c r="AT84" s="72">
        <v>7494</v>
      </c>
      <c r="AU84" s="72">
        <v>8884.6</v>
      </c>
      <c r="AV84" s="72">
        <v>13000</v>
      </c>
      <c r="AW84" s="72">
        <v>7941</v>
      </c>
      <c r="AX84" s="72">
        <v>9433.5</v>
      </c>
      <c r="AY84" s="78">
        <f t="shared" si="80"/>
        <v>118.79486210804684</v>
      </c>
      <c r="AZ84" s="77">
        <f>AX84/AU84*100</f>
        <v>106.17810593611416</v>
      </c>
      <c r="BA84" s="78">
        <v>50</v>
      </c>
      <c r="BB84" s="78">
        <f t="shared" si="76"/>
        <v>40.13230664511189</v>
      </c>
      <c r="BC84" s="78">
        <f t="shared" si="77"/>
        <v>-9.867693354888111</v>
      </c>
      <c r="BD84" s="71">
        <f t="shared" si="68"/>
        <v>37.54955411859178</v>
      </c>
      <c r="CK84" s="42">
        <v>15161</v>
      </c>
      <c r="CL84" s="42">
        <v>18270.6</v>
      </c>
      <c r="CM84" s="41"/>
      <c r="CN84" s="42">
        <v>18459.9</v>
      </c>
      <c r="CO84" s="42">
        <v>19976</v>
      </c>
    </row>
    <row r="85" spans="1:93" ht="18.75">
      <c r="A85" s="62">
        <v>72</v>
      </c>
      <c r="B85" s="66" t="s">
        <v>88</v>
      </c>
      <c r="C85" s="71">
        <v>20309</v>
      </c>
      <c r="D85" s="71">
        <v>23250</v>
      </c>
      <c r="E85" s="71">
        <v>26270</v>
      </c>
      <c r="F85" s="71">
        <v>22470</v>
      </c>
      <c r="G85" s="71">
        <v>24260</v>
      </c>
      <c r="H85" s="71">
        <v>26853</v>
      </c>
      <c r="I85" s="71">
        <v>32208</v>
      </c>
      <c r="J85" s="71">
        <v>36804</v>
      </c>
      <c r="K85" s="71">
        <v>29405</v>
      </c>
      <c r="L85" s="71">
        <v>34806</v>
      </c>
      <c r="M85" s="78">
        <f t="shared" si="78"/>
        <v>118.36762455364733</v>
      </c>
      <c r="N85" s="77">
        <f t="shared" si="69"/>
        <v>108.06631892697467</v>
      </c>
      <c r="O85" s="77">
        <v>140</v>
      </c>
      <c r="P85" s="78">
        <f t="shared" si="70"/>
        <v>143.47073371805442</v>
      </c>
      <c r="Q85" s="78">
        <f t="shared" si="71"/>
        <v>3.4707337180544187</v>
      </c>
      <c r="R85" s="71">
        <f t="shared" si="66"/>
        <v>138.52903225806452</v>
      </c>
      <c r="U85" s="39">
        <v>72</v>
      </c>
      <c r="V85" s="66" t="s">
        <v>88</v>
      </c>
      <c r="W85" s="71">
        <v>20309</v>
      </c>
      <c r="X85" s="71">
        <v>23250</v>
      </c>
      <c r="Y85" s="71">
        <v>26270</v>
      </c>
      <c r="Z85" s="71">
        <v>22470</v>
      </c>
      <c r="AA85" s="71">
        <v>24260</v>
      </c>
      <c r="AB85" s="71">
        <v>16508</v>
      </c>
      <c r="AC85" s="71">
        <v>18804</v>
      </c>
      <c r="AD85" s="71">
        <v>21436</v>
      </c>
      <c r="AE85" s="71">
        <v>17139</v>
      </c>
      <c r="AF85" s="71">
        <v>20776</v>
      </c>
      <c r="AG85" s="78">
        <f t="shared" si="79"/>
        <v>121.22060797012662</v>
      </c>
      <c r="AH85" s="71">
        <f t="shared" si="72"/>
        <v>110.48713039778771</v>
      </c>
      <c r="AI85" s="77">
        <v>81</v>
      </c>
      <c r="AJ85" s="72">
        <f t="shared" si="73"/>
        <v>85.63891178895301</v>
      </c>
      <c r="AK85" s="72">
        <f t="shared" si="74"/>
        <v>4.63891178895301</v>
      </c>
      <c r="AL85" s="71">
        <f t="shared" si="67"/>
        <v>80.87741935483871</v>
      </c>
      <c r="AM85" s="39">
        <v>72</v>
      </c>
      <c r="AN85" s="97" t="s">
        <v>88</v>
      </c>
      <c r="AO85" s="71">
        <v>20309</v>
      </c>
      <c r="AP85" s="71">
        <v>23250</v>
      </c>
      <c r="AQ85" s="71">
        <v>26270</v>
      </c>
      <c r="AR85" s="71">
        <v>22470</v>
      </c>
      <c r="AS85" s="71">
        <v>24260</v>
      </c>
      <c r="AT85" s="71">
        <v>8763</v>
      </c>
      <c r="AU85" s="71">
        <v>9509</v>
      </c>
      <c r="AV85" s="71">
        <v>13161</v>
      </c>
      <c r="AW85" s="71">
        <v>8980</v>
      </c>
      <c r="AX85" s="71">
        <v>11749</v>
      </c>
      <c r="AY85" s="78">
        <f t="shared" si="80"/>
        <v>130.83518930957683</v>
      </c>
      <c r="AZ85" s="77">
        <f t="shared" si="75"/>
        <v>123.55663056052163</v>
      </c>
      <c r="BA85" s="77">
        <v>50</v>
      </c>
      <c r="BB85" s="78">
        <f t="shared" si="76"/>
        <v>48.42951360263809</v>
      </c>
      <c r="BC85" s="78">
        <f t="shared" si="77"/>
        <v>-1.5704863973619112</v>
      </c>
      <c r="BD85" s="71">
        <f t="shared" si="68"/>
        <v>40.898924731182795</v>
      </c>
      <c r="CK85" s="41">
        <v>17237</v>
      </c>
      <c r="CL85" s="41">
        <v>19129</v>
      </c>
      <c r="CM85" s="41">
        <v>17635</v>
      </c>
      <c r="CN85" s="41">
        <v>21117</v>
      </c>
      <c r="CO85" s="41">
        <v>23270</v>
      </c>
    </row>
    <row r="86" spans="1:93" s="69" customFormat="1" ht="18.75">
      <c r="A86" s="130">
        <v>73</v>
      </c>
      <c r="B86" s="131" t="s">
        <v>89</v>
      </c>
      <c r="C86" s="78">
        <v>19088</v>
      </c>
      <c r="D86" s="78">
        <v>22000</v>
      </c>
      <c r="E86" s="78">
        <v>25100</v>
      </c>
      <c r="F86" s="78"/>
      <c r="G86" s="78">
        <v>22700</v>
      </c>
      <c r="H86" s="78">
        <v>25779</v>
      </c>
      <c r="I86" s="78">
        <v>28823</v>
      </c>
      <c r="J86" s="78">
        <v>30783</v>
      </c>
      <c r="K86" s="78">
        <v>23659</v>
      </c>
      <c r="L86" s="78">
        <v>28827</v>
      </c>
      <c r="M86" s="78">
        <f t="shared" si="78"/>
        <v>121.84369584513293</v>
      </c>
      <c r="N86" s="77">
        <f t="shared" si="69"/>
        <v>100.01387780591888</v>
      </c>
      <c r="O86" s="78">
        <v>122</v>
      </c>
      <c r="P86" s="78">
        <f t="shared" si="70"/>
        <v>126.99118942731278</v>
      </c>
      <c r="Q86" s="78">
        <f t="shared" si="71"/>
        <v>4.991189427312776</v>
      </c>
      <c r="R86" s="77">
        <f t="shared" si="66"/>
        <v>131.01363636363635</v>
      </c>
      <c r="S86" s="134"/>
      <c r="U86" s="135">
        <v>73</v>
      </c>
      <c r="V86" s="131" t="s">
        <v>89</v>
      </c>
      <c r="W86" s="78">
        <v>19088</v>
      </c>
      <c r="X86" s="78">
        <v>22000</v>
      </c>
      <c r="Y86" s="78">
        <v>25100</v>
      </c>
      <c r="Z86" s="78"/>
      <c r="AA86" s="78">
        <v>22700</v>
      </c>
      <c r="AB86" s="78">
        <v>12161</v>
      </c>
      <c r="AC86" s="78">
        <v>13474</v>
      </c>
      <c r="AD86" s="78">
        <v>14404</v>
      </c>
      <c r="AE86" s="78">
        <v>11456</v>
      </c>
      <c r="AF86" s="78">
        <v>14179</v>
      </c>
      <c r="AG86" s="78">
        <f t="shared" si="79"/>
        <v>123.76920391061452</v>
      </c>
      <c r="AH86" s="77">
        <f t="shared" si="72"/>
        <v>105.2322992429865</v>
      </c>
      <c r="AI86" s="78">
        <v>57</v>
      </c>
      <c r="AJ86" s="78">
        <f t="shared" si="73"/>
        <v>62.4625550660793</v>
      </c>
      <c r="AK86" s="78">
        <f t="shared" si="74"/>
        <v>5.462555066079297</v>
      </c>
      <c r="AL86" s="77">
        <f t="shared" si="67"/>
        <v>61.24545454545455</v>
      </c>
      <c r="AM86" s="135">
        <v>73</v>
      </c>
      <c r="AN86" s="136" t="s">
        <v>89</v>
      </c>
      <c r="AO86" s="78">
        <v>19088</v>
      </c>
      <c r="AP86" s="78">
        <v>22000</v>
      </c>
      <c r="AQ86" s="78">
        <v>25100</v>
      </c>
      <c r="AR86" s="78"/>
      <c r="AS86" s="78">
        <v>22700</v>
      </c>
      <c r="AT86" s="78">
        <v>6959</v>
      </c>
      <c r="AU86" s="78">
        <v>7470</v>
      </c>
      <c r="AV86" s="78">
        <v>8030</v>
      </c>
      <c r="AW86" s="78">
        <v>6855</v>
      </c>
      <c r="AX86" s="78">
        <v>8348</v>
      </c>
      <c r="AY86" s="78">
        <f t="shared" si="80"/>
        <v>121.77972283005106</v>
      </c>
      <c r="AZ86" s="77">
        <f t="shared" si="75"/>
        <v>111.7536813922356</v>
      </c>
      <c r="BA86" s="78">
        <v>32</v>
      </c>
      <c r="BB86" s="78">
        <f t="shared" si="76"/>
        <v>36.775330396475766</v>
      </c>
      <c r="BC86" s="78">
        <f t="shared" si="77"/>
        <v>4.775330396475766</v>
      </c>
      <c r="BD86" s="77">
        <f t="shared" si="68"/>
        <v>33.95454545454545</v>
      </c>
      <c r="BE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K86" s="137">
        <v>13463</v>
      </c>
      <c r="CL86" s="137">
        <v>14872</v>
      </c>
      <c r="CM86" s="137">
        <v>12759</v>
      </c>
      <c r="CN86" s="137">
        <v>15589</v>
      </c>
      <c r="CO86" s="137">
        <v>15884</v>
      </c>
    </row>
    <row r="87" spans="1:93" ht="18.75">
      <c r="A87" s="62">
        <v>74</v>
      </c>
      <c r="B87" s="66" t="s">
        <v>90</v>
      </c>
      <c r="C87" s="72">
        <v>24001</v>
      </c>
      <c r="D87" s="72">
        <v>27075</v>
      </c>
      <c r="E87" s="72">
        <v>30020</v>
      </c>
      <c r="F87" s="72">
        <v>24863.8</v>
      </c>
      <c r="G87" s="72">
        <v>26512.4</v>
      </c>
      <c r="H87" s="74">
        <v>25625</v>
      </c>
      <c r="I87" s="74">
        <v>29767.4</v>
      </c>
      <c r="J87" s="74">
        <v>39213</v>
      </c>
      <c r="K87" s="74">
        <v>28644.9</v>
      </c>
      <c r="L87" s="74">
        <v>34359</v>
      </c>
      <c r="M87" s="78">
        <f t="shared" si="78"/>
        <v>119.94805358021847</v>
      </c>
      <c r="N87" s="77">
        <f t="shared" si="69"/>
        <v>115.42492794130493</v>
      </c>
      <c r="O87" s="78">
        <v>129</v>
      </c>
      <c r="P87" s="78">
        <f t="shared" si="70"/>
        <v>129.59596264389492</v>
      </c>
      <c r="Q87" s="78">
        <f t="shared" si="71"/>
        <v>0.5959626438949215</v>
      </c>
      <c r="R87" s="71">
        <f t="shared" si="66"/>
        <v>109.94422899353648</v>
      </c>
      <c r="U87" s="39">
        <v>74</v>
      </c>
      <c r="V87" s="66" t="s">
        <v>90</v>
      </c>
      <c r="W87" s="72">
        <v>24001</v>
      </c>
      <c r="X87" s="72">
        <v>27075</v>
      </c>
      <c r="Y87" s="72">
        <v>30020</v>
      </c>
      <c r="Z87" s="72">
        <v>24863.8</v>
      </c>
      <c r="AA87" s="72">
        <v>26512.4</v>
      </c>
      <c r="AB87" s="72">
        <v>16481</v>
      </c>
      <c r="AC87" s="72">
        <v>17925</v>
      </c>
      <c r="AD87" s="72">
        <v>23116</v>
      </c>
      <c r="AE87" s="72">
        <v>17208.8</v>
      </c>
      <c r="AF87" s="72">
        <v>20212.22</v>
      </c>
      <c r="AG87" s="78">
        <f t="shared" si="79"/>
        <v>117.45281483891962</v>
      </c>
      <c r="AH87" s="71">
        <f t="shared" si="72"/>
        <v>112.75994421199442</v>
      </c>
      <c r="AI87" s="78">
        <v>75</v>
      </c>
      <c r="AJ87" s="72">
        <f t="shared" si="73"/>
        <v>76.23685520737466</v>
      </c>
      <c r="AK87" s="72">
        <f t="shared" si="74"/>
        <v>1.23685520737466</v>
      </c>
      <c r="AL87" s="71">
        <f t="shared" si="67"/>
        <v>66.20498614958449</v>
      </c>
      <c r="AM87" s="39">
        <v>74</v>
      </c>
      <c r="AN87" s="97" t="s">
        <v>90</v>
      </c>
      <c r="AO87" s="72">
        <v>24001</v>
      </c>
      <c r="AP87" s="72">
        <v>27075</v>
      </c>
      <c r="AQ87" s="72">
        <v>30020</v>
      </c>
      <c r="AR87" s="72">
        <v>24863.8</v>
      </c>
      <c r="AS87" s="72">
        <v>26512.4</v>
      </c>
      <c r="AT87" s="72">
        <v>8447</v>
      </c>
      <c r="AU87" s="72">
        <v>9663.9</v>
      </c>
      <c r="AV87" s="72">
        <v>15429</v>
      </c>
      <c r="AW87" s="72">
        <v>9335.9</v>
      </c>
      <c r="AX87" s="72">
        <v>10781.5</v>
      </c>
      <c r="AY87" s="78">
        <f t="shared" si="80"/>
        <v>115.48431324242976</v>
      </c>
      <c r="AZ87" s="71">
        <f t="shared" si="75"/>
        <v>111.56468920415155</v>
      </c>
      <c r="BA87" s="78">
        <v>50</v>
      </c>
      <c r="BB87" s="72">
        <f t="shared" si="76"/>
        <v>40.66587709901782</v>
      </c>
      <c r="BC87" s="72">
        <f t="shared" si="77"/>
        <v>-9.33412290098218</v>
      </c>
      <c r="BD87" s="71">
        <f t="shared" si="68"/>
        <v>35.69307479224377</v>
      </c>
      <c r="CK87" s="42">
        <v>14807.5</v>
      </c>
      <c r="CL87" s="42">
        <v>18563.2</v>
      </c>
      <c r="CM87" s="42">
        <v>17375</v>
      </c>
      <c r="CN87" s="42">
        <v>20186</v>
      </c>
      <c r="CO87" s="42">
        <v>23397</v>
      </c>
    </row>
    <row r="88" spans="1:93" ht="23.25" customHeight="1">
      <c r="A88" s="62"/>
      <c r="B88" s="67" t="s">
        <v>110</v>
      </c>
      <c r="C88" s="72"/>
      <c r="D88" s="72"/>
      <c r="E88" s="72"/>
      <c r="F88" s="72"/>
      <c r="G88" s="72"/>
      <c r="H88" s="74"/>
      <c r="I88" s="74"/>
      <c r="J88" s="74"/>
      <c r="K88" s="71"/>
      <c r="L88" s="74"/>
      <c r="M88" s="76"/>
      <c r="N88" s="77"/>
      <c r="O88" s="78"/>
      <c r="P88" s="76"/>
      <c r="Q88" s="76"/>
      <c r="R88" s="71"/>
      <c r="U88" s="39"/>
      <c r="V88" s="67" t="s">
        <v>110</v>
      </c>
      <c r="W88" s="72"/>
      <c r="X88" s="72"/>
      <c r="Y88" s="72"/>
      <c r="Z88" s="72"/>
      <c r="AA88" s="72"/>
      <c r="AB88" s="72"/>
      <c r="AC88" s="72"/>
      <c r="AD88" s="72"/>
      <c r="AE88" s="71"/>
      <c r="AF88" s="72"/>
      <c r="AG88" s="76"/>
      <c r="AH88" s="71"/>
      <c r="AI88" s="78"/>
      <c r="AJ88" s="76"/>
      <c r="AK88" s="76"/>
      <c r="AL88" s="71"/>
      <c r="AM88" s="39"/>
      <c r="AN88" s="96" t="s">
        <v>110</v>
      </c>
      <c r="AO88" s="72"/>
      <c r="AP88" s="72"/>
      <c r="AQ88" s="72"/>
      <c r="AR88" s="72"/>
      <c r="AS88" s="72"/>
      <c r="AT88" s="72"/>
      <c r="AU88" s="72"/>
      <c r="AV88" s="72"/>
      <c r="AW88" s="71"/>
      <c r="AX88" s="72"/>
      <c r="AY88" s="76"/>
      <c r="AZ88" s="71"/>
      <c r="BA88" s="78"/>
      <c r="BB88" s="76"/>
      <c r="BC88" s="76"/>
      <c r="BD88" s="71"/>
      <c r="CK88" s="42"/>
      <c r="CL88" s="42"/>
      <c r="CM88" s="41"/>
      <c r="CN88" s="42"/>
      <c r="CO88" s="42"/>
    </row>
    <row r="89" spans="1:93" s="69" customFormat="1" ht="18.75">
      <c r="A89" s="130">
        <v>75</v>
      </c>
      <c r="B89" s="131" t="s">
        <v>91</v>
      </c>
      <c r="C89" s="88">
        <v>34052</v>
      </c>
      <c r="D89" s="88">
        <v>40725</v>
      </c>
      <c r="E89" s="88">
        <v>45797</v>
      </c>
      <c r="F89" s="76"/>
      <c r="G89" s="76"/>
      <c r="H89" s="158">
        <v>37272</v>
      </c>
      <c r="I89" s="158">
        <v>47241</v>
      </c>
      <c r="J89" s="158">
        <v>56445</v>
      </c>
      <c r="K89" s="76"/>
      <c r="L89" s="158">
        <v>42065</v>
      </c>
      <c r="M89" s="78"/>
      <c r="N89" s="77">
        <f aca="true" t="shared" si="81" ref="N89:N97">L89/I89*100</f>
        <v>89.04341567706018</v>
      </c>
      <c r="O89" s="76">
        <v>85</v>
      </c>
      <c r="P89" s="78"/>
      <c r="Q89" s="78"/>
      <c r="R89" s="77">
        <f t="shared" si="66"/>
        <v>115.99999999999999</v>
      </c>
      <c r="S89" s="134"/>
      <c r="U89" s="135">
        <v>75</v>
      </c>
      <c r="V89" s="131" t="s">
        <v>91</v>
      </c>
      <c r="W89" s="88">
        <v>34052</v>
      </c>
      <c r="X89" s="88">
        <v>40725</v>
      </c>
      <c r="Y89" s="88">
        <v>45797</v>
      </c>
      <c r="Z89" s="76"/>
      <c r="AA89" s="76"/>
      <c r="AB89" s="159">
        <v>22773</v>
      </c>
      <c r="AC89" s="159">
        <v>24842.25</v>
      </c>
      <c r="AD89" s="159">
        <v>33221</v>
      </c>
      <c r="AE89" s="76"/>
      <c r="AF89" s="159">
        <v>24157</v>
      </c>
      <c r="AG89" s="78"/>
      <c r="AH89" s="77">
        <f>AF89/AC89*100</f>
        <v>97.24159446104922</v>
      </c>
      <c r="AI89" s="76">
        <v>50</v>
      </c>
      <c r="AJ89" s="78"/>
      <c r="AK89" s="78"/>
      <c r="AL89" s="77">
        <f t="shared" si="67"/>
        <v>61</v>
      </c>
      <c r="AM89" s="135">
        <v>75</v>
      </c>
      <c r="AN89" s="136" t="s">
        <v>91</v>
      </c>
      <c r="AO89" s="88">
        <v>34052</v>
      </c>
      <c r="AP89" s="88">
        <v>40725</v>
      </c>
      <c r="AQ89" s="88">
        <v>45797</v>
      </c>
      <c r="AR89" s="76"/>
      <c r="AS89" s="76"/>
      <c r="AT89" s="160">
        <v>13623</v>
      </c>
      <c r="AU89" s="160">
        <v>14905</v>
      </c>
      <c r="AV89" s="160">
        <v>21932</v>
      </c>
      <c r="AW89" s="76"/>
      <c r="AX89" s="160">
        <v>15119</v>
      </c>
      <c r="AY89" s="78"/>
      <c r="AZ89" s="77">
        <f>AX89/AU89*100</f>
        <v>101.43575981214357</v>
      </c>
      <c r="BA89" s="76">
        <v>37</v>
      </c>
      <c r="BB89" s="78"/>
      <c r="BC89" s="78"/>
      <c r="BD89" s="77">
        <f t="shared" si="68"/>
        <v>36.599140577041126</v>
      </c>
      <c r="BE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K89" s="161">
        <v>22464</v>
      </c>
      <c r="CL89" s="162">
        <v>26932</v>
      </c>
      <c r="CM89" s="149"/>
      <c r="CN89" s="162">
        <v>25719</v>
      </c>
      <c r="CO89" s="161">
        <v>30972</v>
      </c>
    </row>
    <row r="90" spans="1:93" ht="18.75">
      <c r="A90" s="62">
        <v>76</v>
      </c>
      <c r="B90" s="66" t="s">
        <v>92</v>
      </c>
      <c r="C90" s="72"/>
      <c r="D90" s="72"/>
      <c r="E90" s="84"/>
      <c r="F90" s="84"/>
      <c r="G90" s="72"/>
      <c r="H90" s="84"/>
      <c r="I90" s="84"/>
      <c r="J90" s="84"/>
      <c r="K90" s="84"/>
      <c r="L90" s="84"/>
      <c r="M90" s="78"/>
      <c r="N90" s="77"/>
      <c r="O90" s="76">
        <v>104</v>
      </c>
      <c r="P90" s="78"/>
      <c r="Q90" s="78"/>
      <c r="R90" s="71"/>
      <c r="U90" s="39">
        <v>76</v>
      </c>
      <c r="V90" s="66" t="s">
        <v>92</v>
      </c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78"/>
      <c r="AH90" s="71"/>
      <c r="AI90" s="76">
        <v>65</v>
      </c>
      <c r="AJ90" s="72"/>
      <c r="AK90" s="72"/>
      <c r="AL90" s="77"/>
      <c r="AM90" s="39">
        <v>76</v>
      </c>
      <c r="AN90" s="97" t="s">
        <v>92</v>
      </c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78"/>
      <c r="AZ90" s="71"/>
      <c r="BA90" s="76">
        <v>34</v>
      </c>
      <c r="BB90" s="72"/>
      <c r="BC90" s="72"/>
      <c r="BD90" s="71"/>
      <c r="CK90" s="47">
        <v>362512</v>
      </c>
      <c r="CL90" s="47">
        <v>431562.8</v>
      </c>
      <c r="CM90" s="47"/>
      <c r="CN90" s="47">
        <v>121551</v>
      </c>
      <c r="CO90" s="47">
        <v>430071.7</v>
      </c>
    </row>
    <row r="91" spans="1:93" s="69" customFormat="1" ht="18.75">
      <c r="A91" s="130">
        <v>77</v>
      </c>
      <c r="B91" s="131" t="s">
        <v>93</v>
      </c>
      <c r="C91" s="78">
        <v>24423</v>
      </c>
      <c r="D91" s="78">
        <v>27453.4</v>
      </c>
      <c r="E91" s="76"/>
      <c r="F91" s="76"/>
      <c r="G91" s="76"/>
      <c r="H91" s="78">
        <v>26991</v>
      </c>
      <c r="I91" s="78">
        <v>34227</v>
      </c>
      <c r="J91" s="78">
        <v>41072</v>
      </c>
      <c r="K91" s="78">
        <v>30189</v>
      </c>
      <c r="L91" s="78">
        <v>34469</v>
      </c>
      <c r="M91" s="78">
        <f>L91/K91*100</f>
        <v>114.17734936566299</v>
      </c>
      <c r="N91" s="77">
        <f t="shared" si="81"/>
        <v>100.7070441464341</v>
      </c>
      <c r="O91" s="76">
        <v>134</v>
      </c>
      <c r="P91" s="78"/>
      <c r="Q91" s="78"/>
      <c r="R91" s="77">
        <f t="shared" si="66"/>
        <v>124.67308238688103</v>
      </c>
      <c r="S91" s="134"/>
      <c r="U91" s="135">
        <v>77</v>
      </c>
      <c r="V91" s="131" t="s">
        <v>93</v>
      </c>
      <c r="W91" s="78">
        <v>24423</v>
      </c>
      <c r="X91" s="78">
        <v>27453.4</v>
      </c>
      <c r="Y91" s="76"/>
      <c r="Z91" s="76"/>
      <c r="AA91" s="76"/>
      <c r="AB91" s="78">
        <v>15793</v>
      </c>
      <c r="AC91" s="78">
        <v>20404</v>
      </c>
      <c r="AD91" s="78">
        <v>24485</v>
      </c>
      <c r="AE91" s="78">
        <v>18518</v>
      </c>
      <c r="AF91" s="78">
        <v>19968</v>
      </c>
      <c r="AG91" s="78">
        <f aca="true" t="shared" si="82" ref="AG91:AG97">AF91/AE91*100</f>
        <v>107.8302192461389</v>
      </c>
      <c r="AH91" s="71">
        <f aca="true" t="shared" si="83" ref="AH91:AH97">AF91/AC91*100</f>
        <v>97.86316408547344</v>
      </c>
      <c r="AI91" s="76">
        <v>80</v>
      </c>
      <c r="AJ91" s="78"/>
      <c r="AK91" s="78"/>
      <c r="AL91" s="77">
        <f t="shared" si="67"/>
        <v>74.32230616244253</v>
      </c>
      <c r="AM91" s="135">
        <v>77</v>
      </c>
      <c r="AN91" s="136" t="s">
        <v>93</v>
      </c>
      <c r="AO91" s="78">
        <v>24423</v>
      </c>
      <c r="AP91" s="78">
        <v>27453.4</v>
      </c>
      <c r="AQ91" s="76"/>
      <c r="AR91" s="76"/>
      <c r="AS91" s="76"/>
      <c r="AT91" s="78">
        <v>9011</v>
      </c>
      <c r="AU91" s="78">
        <v>10969</v>
      </c>
      <c r="AV91" s="78">
        <v>13163</v>
      </c>
      <c r="AW91" s="78">
        <v>10390</v>
      </c>
      <c r="AX91" s="78">
        <v>11519</v>
      </c>
      <c r="AY91" s="78">
        <f aca="true" t="shared" si="84" ref="AY91:AY97">AX91/AW91*100</f>
        <v>110.86621751684311</v>
      </c>
      <c r="AZ91" s="71">
        <f aca="true" t="shared" si="85" ref="AZ91:AZ97">AX91/AU91*100</f>
        <v>105.0141307320631</v>
      </c>
      <c r="BA91" s="76">
        <v>43</v>
      </c>
      <c r="BB91" s="78"/>
      <c r="BC91" s="78"/>
      <c r="BD91" s="77">
        <f t="shared" si="68"/>
        <v>39.954978254059604</v>
      </c>
      <c r="BE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K91" s="132">
        <v>17041</v>
      </c>
      <c r="CL91" s="132">
        <v>21292</v>
      </c>
      <c r="CM91" s="132">
        <v>19253</v>
      </c>
      <c r="CN91" s="132">
        <v>21425</v>
      </c>
      <c r="CO91" s="132">
        <v>24699</v>
      </c>
    </row>
    <row r="92" spans="1:93" ht="18.75">
      <c r="A92" s="62">
        <v>78</v>
      </c>
      <c r="B92" s="66" t="s">
        <v>94</v>
      </c>
      <c r="C92" s="84">
        <v>26156</v>
      </c>
      <c r="D92" s="84">
        <v>30908</v>
      </c>
      <c r="E92" s="84">
        <v>34030</v>
      </c>
      <c r="F92" s="84">
        <v>27750</v>
      </c>
      <c r="G92" s="84">
        <v>30272</v>
      </c>
      <c r="H92" s="84">
        <v>34263</v>
      </c>
      <c r="I92" s="84">
        <v>35977</v>
      </c>
      <c r="J92" s="84">
        <v>44137</v>
      </c>
      <c r="K92" s="84">
        <v>34752</v>
      </c>
      <c r="L92" s="84">
        <v>39507</v>
      </c>
      <c r="M92" s="78">
        <f aca="true" t="shared" si="86" ref="M92:M97">L92/K92*100</f>
        <v>113.68266574585635</v>
      </c>
      <c r="N92" s="77">
        <f t="shared" si="81"/>
        <v>109.81182422103011</v>
      </c>
      <c r="O92" s="76">
        <v>134</v>
      </c>
      <c r="P92" s="78">
        <f>L92/G92*100</f>
        <v>130.50673890063425</v>
      </c>
      <c r="Q92" s="78">
        <f>P92-O92</f>
        <v>-3.4932610993657534</v>
      </c>
      <c r="R92" s="71">
        <f t="shared" si="66"/>
        <v>116.40028471593115</v>
      </c>
      <c r="U92" s="39">
        <v>78</v>
      </c>
      <c r="V92" s="66" t="s">
        <v>94</v>
      </c>
      <c r="W92" s="84">
        <v>26156</v>
      </c>
      <c r="X92" s="84">
        <v>30908</v>
      </c>
      <c r="Y92" s="84">
        <v>34030</v>
      </c>
      <c r="Z92" s="84">
        <v>27750</v>
      </c>
      <c r="AA92" s="84">
        <v>30272</v>
      </c>
      <c r="AB92" s="84">
        <v>21607</v>
      </c>
      <c r="AC92" s="84">
        <v>22735</v>
      </c>
      <c r="AD92" s="84">
        <v>25727</v>
      </c>
      <c r="AE92" s="84">
        <v>21281</v>
      </c>
      <c r="AF92" s="84">
        <v>24450</v>
      </c>
      <c r="AG92" s="78">
        <f t="shared" si="82"/>
        <v>114.89121751797377</v>
      </c>
      <c r="AH92" s="71">
        <f t="shared" si="83"/>
        <v>107.54343523202112</v>
      </c>
      <c r="AI92" s="76">
        <v>76</v>
      </c>
      <c r="AJ92" s="72">
        <f>AF92/AA92*100</f>
        <v>80.76770613107823</v>
      </c>
      <c r="AK92" s="72">
        <f>AJ92-AI92</f>
        <v>4.767706131078228</v>
      </c>
      <c r="AL92" s="71">
        <f t="shared" si="67"/>
        <v>73.55700789439628</v>
      </c>
      <c r="AM92" s="39">
        <v>78</v>
      </c>
      <c r="AN92" s="97" t="s">
        <v>94</v>
      </c>
      <c r="AO92" s="84">
        <v>26156</v>
      </c>
      <c r="AP92" s="84">
        <v>30908</v>
      </c>
      <c r="AQ92" s="84">
        <v>34030</v>
      </c>
      <c r="AR92" s="84">
        <v>27750</v>
      </c>
      <c r="AS92" s="84">
        <v>30272</v>
      </c>
      <c r="AT92" s="84">
        <v>11462</v>
      </c>
      <c r="AU92" s="84">
        <v>13483</v>
      </c>
      <c r="AV92" s="84">
        <v>17049</v>
      </c>
      <c r="AW92" s="84">
        <v>11939</v>
      </c>
      <c r="AX92" s="84">
        <v>14331</v>
      </c>
      <c r="AY92" s="78">
        <f t="shared" si="84"/>
        <v>120.0351788256973</v>
      </c>
      <c r="AZ92" s="71">
        <f t="shared" si="85"/>
        <v>106.2894014685159</v>
      </c>
      <c r="BA92" s="76">
        <v>50</v>
      </c>
      <c r="BB92" s="72">
        <f>AX92/AS92*100</f>
        <v>47.340776955602536</v>
      </c>
      <c r="BC92" s="72">
        <f>BB92-BA92</f>
        <v>-2.6592230443974643</v>
      </c>
      <c r="BD92" s="71">
        <f t="shared" si="68"/>
        <v>43.623010223890255</v>
      </c>
      <c r="CK92" s="47">
        <v>21766</v>
      </c>
      <c r="CL92" s="47">
        <v>24210</v>
      </c>
      <c r="CM92" s="47">
        <v>21669</v>
      </c>
      <c r="CN92" s="47">
        <v>24765</v>
      </c>
      <c r="CO92" s="47">
        <v>26817</v>
      </c>
    </row>
    <row r="93" spans="1:93" ht="18.75">
      <c r="A93" s="62">
        <v>79</v>
      </c>
      <c r="B93" s="66" t="s">
        <v>95</v>
      </c>
      <c r="C93" s="71">
        <v>24202</v>
      </c>
      <c r="D93" s="71">
        <v>26454</v>
      </c>
      <c r="E93" s="71">
        <v>28885</v>
      </c>
      <c r="F93" s="71">
        <v>24903</v>
      </c>
      <c r="G93" s="71">
        <v>27816</v>
      </c>
      <c r="H93" s="71">
        <v>28009</v>
      </c>
      <c r="I93" s="71">
        <v>34609</v>
      </c>
      <c r="J93" s="71">
        <v>36215</v>
      </c>
      <c r="K93" s="71">
        <v>32168</v>
      </c>
      <c r="L93" s="71">
        <v>34747</v>
      </c>
      <c r="M93" s="78">
        <f t="shared" si="86"/>
        <v>108.01728425764736</v>
      </c>
      <c r="N93" s="77">
        <f t="shared" si="81"/>
        <v>100.39874021208357</v>
      </c>
      <c r="O93" s="77">
        <v>125</v>
      </c>
      <c r="P93" s="78">
        <f>L93/G93*100</f>
        <v>124.91731377624389</v>
      </c>
      <c r="Q93" s="78">
        <f>P93-O93</f>
        <v>-0.08268622375611301</v>
      </c>
      <c r="R93" s="71">
        <f t="shared" si="66"/>
        <v>130.82709609132834</v>
      </c>
      <c r="U93" s="39">
        <v>79</v>
      </c>
      <c r="V93" s="66" t="s">
        <v>95</v>
      </c>
      <c r="W93" s="71">
        <v>24202</v>
      </c>
      <c r="X93" s="71">
        <v>26454</v>
      </c>
      <c r="Y93" s="71">
        <v>28885</v>
      </c>
      <c r="Z93" s="71">
        <v>24903</v>
      </c>
      <c r="AA93" s="71">
        <v>27816</v>
      </c>
      <c r="AB93" s="71">
        <v>15697</v>
      </c>
      <c r="AC93" s="71">
        <v>19080</v>
      </c>
      <c r="AD93" s="71">
        <v>21596</v>
      </c>
      <c r="AE93" s="71">
        <v>17336</v>
      </c>
      <c r="AF93" s="71">
        <v>19100</v>
      </c>
      <c r="AG93" s="78">
        <f t="shared" si="82"/>
        <v>110.17535763728657</v>
      </c>
      <c r="AH93" s="71">
        <f t="shared" si="83"/>
        <v>100.104821802935</v>
      </c>
      <c r="AI93" s="77">
        <v>74</v>
      </c>
      <c r="AJ93" s="72">
        <f>AF93/AA93*100</f>
        <v>68.66551624964049</v>
      </c>
      <c r="AK93" s="72">
        <f>AJ93-AI93</f>
        <v>-5.33448375035951</v>
      </c>
      <c r="AL93" s="71">
        <f t="shared" si="67"/>
        <v>72.12519845770015</v>
      </c>
      <c r="AM93" s="39">
        <v>79</v>
      </c>
      <c r="AN93" s="97" t="s">
        <v>95</v>
      </c>
      <c r="AO93" s="71">
        <v>24202</v>
      </c>
      <c r="AP93" s="71">
        <v>26454</v>
      </c>
      <c r="AQ93" s="71">
        <v>28885</v>
      </c>
      <c r="AR93" s="71">
        <v>24903</v>
      </c>
      <c r="AS93" s="71">
        <v>27816</v>
      </c>
      <c r="AT93" s="71">
        <v>9160</v>
      </c>
      <c r="AU93" s="71">
        <v>9677</v>
      </c>
      <c r="AV93" s="71">
        <v>12968</v>
      </c>
      <c r="AW93" s="71">
        <v>9230</v>
      </c>
      <c r="AX93" s="71">
        <v>10008</v>
      </c>
      <c r="AY93" s="78">
        <f t="shared" si="84"/>
        <v>108.42903575297942</v>
      </c>
      <c r="AZ93" s="71">
        <f t="shared" si="85"/>
        <v>103.42048155420068</v>
      </c>
      <c r="BA93" s="77">
        <v>44</v>
      </c>
      <c r="BB93" s="72">
        <f>AX93/AS93*100</f>
        <v>35.9792924935289</v>
      </c>
      <c r="BC93" s="72">
        <f>BB93-BA93</f>
        <v>-8.020707506471098</v>
      </c>
      <c r="BD93" s="71">
        <f t="shared" si="68"/>
        <v>36.58047932259771</v>
      </c>
      <c r="CK93" s="41">
        <v>18320</v>
      </c>
      <c r="CL93" s="41">
        <v>19200</v>
      </c>
      <c r="CM93" s="41">
        <v>18455</v>
      </c>
      <c r="CN93" s="41">
        <v>19805</v>
      </c>
      <c r="CO93" s="41">
        <v>21160</v>
      </c>
    </row>
    <row r="94" spans="1:93" ht="18.75">
      <c r="A94" s="62">
        <v>80</v>
      </c>
      <c r="B94" s="66" t="s">
        <v>96</v>
      </c>
      <c r="C94" s="84">
        <v>41934</v>
      </c>
      <c r="D94" s="84">
        <v>51061</v>
      </c>
      <c r="E94" s="84">
        <v>53937</v>
      </c>
      <c r="F94" s="84">
        <v>46619</v>
      </c>
      <c r="G94" s="84">
        <v>53937</v>
      </c>
      <c r="H94" s="84">
        <v>48969</v>
      </c>
      <c r="I94" s="84">
        <v>62401</v>
      </c>
      <c r="J94" s="84">
        <v>65293</v>
      </c>
      <c r="K94" s="84">
        <v>50323</v>
      </c>
      <c r="L94" s="84">
        <v>62820</v>
      </c>
      <c r="M94" s="78">
        <f t="shared" si="86"/>
        <v>124.83357510482284</v>
      </c>
      <c r="N94" s="77">
        <f t="shared" si="81"/>
        <v>100.67146359833976</v>
      </c>
      <c r="O94" s="76">
        <v>121</v>
      </c>
      <c r="P94" s="78">
        <f>L94/G94*100</f>
        <v>116.46921408309694</v>
      </c>
      <c r="Q94" s="78">
        <f>P94-O94</f>
        <v>-4.530785916903056</v>
      </c>
      <c r="R94" s="71">
        <f t="shared" si="66"/>
        <v>122.20873073382816</v>
      </c>
      <c r="U94" s="39">
        <v>80</v>
      </c>
      <c r="V94" s="66" t="s">
        <v>96</v>
      </c>
      <c r="W94" s="84">
        <v>41934</v>
      </c>
      <c r="X94" s="84">
        <v>51061</v>
      </c>
      <c r="Y94" s="84">
        <v>53937</v>
      </c>
      <c r="Z94" s="84">
        <v>46619</v>
      </c>
      <c r="AA94" s="84">
        <v>53937</v>
      </c>
      <c r="AB94" s="84">
        <v>27600</v>
      </c>
      <c r="AC94" s="84">
        <v>32826</v>
      </c>
      <c r="AD94" s="84">
        <v>34961</v>
      </c>
      <c r="AE94" s="84">
        <v>27719</v>
      </c>
      <c r="AF94" s="84">
        <v>36606</v>
      </c>
      <c r="AG94" s="78">
        <f t="shared" si="82"/>
        <v>132.06104116310112</v>
      </c>
      <c r="AH94" s="71">
        <f t="shared" si="83"/>
        <v>111.51526229208555</v>
      </c>
      <c r="AI94" s="76">
        <v>64</v>
      </c>
      <c r="AJ94" s="72">
        <f>AF94/AA94*100</f>
        <v>67.86806830190778</v>
      </c>
      <c r="AK94" s="72">
        <f>AJ94-AI94</f>
        <v>3.8680683019077833</v>
      </c>
      <c r="AL94" s="71">
        <f t="shared" si="67"/>
        <v>64.28781261628248</v>
      </c>
      <c r="AM94" s="39">
        <v>80</v>
      </c>
      <c r="AN94" s="97" t="s">
        <v>96</v>
      </c>
      <c r="AO94" s="84">
        <v>41934</v>
      </c>
      <c r="AP94" s="84">
        <v>51061</v>
      </c>
      <c r="AQ94" s="84">
        <v>53937</v>
      </c>
      <c r="AR94" s="84">
        <v>46619</v>
      </c>
      <c r="AS94" s="84">
        <v>53937</v>
      </c>
      <c r="AT94" s="84">
        <v>14120</v>
      </c>
      <c r="AU94" s="84">
        <v>17242</v>
      </c>
      <c r="AV94" s="84">
        <v>18377</v>
      </c>
      <c r="AW94" s="84">
        <v>14714</v>
      </c>
      <c r="AX94" s="84">
        <v>20367</v>
      </c>
      <c r="AY94" s="78">
        <f t="shared" si="84"/>
        <v>138.41919260568167</v>
      </c>
      <c r="AZ94" s="71">
        <f t="shared" si="85"/>
        <v>118.12434752348915</v>
      </c>
      <c r="BA94" s="76">
        <v>34</v>
      </c>
      <c r="BB94" s="72">
        <f>AX94/AS94*100</f>
        <v>37.76072084098114</v>
      </c>
      <c r="BC94" s="72">
        <f>BB94-BA94</f>
        <v>3.7607208409811435</v>
      </c>
      <c r="BD94" s="71">
        <f t="shared" si="68"/>
        <v>33.76745461310981</v>
      </c>
      <c r="CK94" s="47">
        <v>26134</v>
      </c>
      <c r="CL94" s="47">
        <v>35517</v>
      </c>
      <c r="CM94" s="47">
        <v>26861</v>
      </c>
      <c r="CN94" s="47">
        <v>36016</v>
      </c>
      <c r="CO94" s="47">
        <v>38358</v>
      </c>
    </row>
    <row r="95" spans="1:93" ht="18.75">
      <c r="A95" s="62">
        <v>81</v>
      </c>
      <c r="B95" s="66" t="s">
        <v>97</v>
      </c>
      <c r="C95" s="84">
        <v>38771</v>
      </c>
      <c r="D95" s="84">
        <v>44450</v>
      </c>
      <c r="E95" s="84">
        <v>48520</v>
      </c>
      <c r="F95" s="84">
        <v>42064</v>
      </c>
      <c r="G95" s="84">
        <v>46260</v>
      </c>
      <c r="H95" s="84">
        <v>60600</v>
      </c>
      <c r="I95" s="84">
        <v>69000</v>
      </c>
      <c r="J95" s="84">
        <v>70986</v>
      </c>
      <c r="K95" s="84">
        <v>66340</v>
      </c>
      <c r="L95" s="84">
        <v>70563</v>
      </c>
      <c r="M95" s="78">
        <f t="shared" si="86"/>
        <v>106.36569189026228</v>
      </c>
      <c r="N95" s="77">
        <f t="shared" si="81"/>
        <v>102.26521739130435</v>
      </c>
      <c r="O95" s="123">
        <v>146</v>
      </c>
      <c r="P95" s="124">
        <f>L95/G95*100</f>
        <v>152.53566796368352</v>
      </c>
      <c r="Q95" s="124">
        <f>P95-O95</f>
        <v>6.535667963683522</v>
      </c>
      <c r="R95" s="71">
        <f t="shared" si="66"/>
        <v>155.23059617547807</v>
      </c>
      <c r="U95" s="39">
        <v>81</v>
      </c>
      <c r="V95" s="66" t="s">
        <v>97</v>
      </c>
      <c r="W95" s="84">
        <v>38771</v>
      </c>
      <c r="X95" s="84">
        <v>44450</v>
      </c>
      <c r="Y95" s="84">
        <v>48520</v>
      </c>
      <c r="Z95" s="84">
        <v>42064</v>
      </c>
      <c r="AA95" s="84">
        <v>46260</v>
      </c>
      <c r="AB95" s="84">
        <v>32100</v>
      </c>
      <c r="AC95" s="84">
        <v>36100</v>
      </c>
      <c r="AD95" s="84">
        <v>39700</v>
      </c>
      <c r="AE95" s="84">
        <v>34710</v>
      </c>
      <c r="AF95" s="84">
        <v>37360</v>
      </c>
      <c r="AG95" s="78">
        <f t="shared" si="82"/>
        <v>107.63468740996831</v>
      </c>
      <c r="AH95" s="71">
        <f t="shared" si="83"/>
        <v>103.49030470914127</v>
      </c>
      <c r="AI95" s="76">
        <v>81</v>
      </c>
      <c r="AJ95" s="72">
        <f>AF95/AA95*100</f>
        <v>80.76091655858193</v>
      </c>
      <c r="AK95" s="72">
        <f>AJ95-AI95</f>
        <v>-0.23908344141807447</v>
      </c>
      <c r="AL95" s="71">
        <f t="shared" si="67"/>
        <v>81.214848143982</v>
      </c>
      <c r="AM95" s="39">
        <v>81</v>
      </c>
      <c r="AN95" s="97" t="s">
        <v>97</v>
      </c>
      <c r="AO95" s="84">
        <v>38771</v>
      </c>
      <c r="AP95" s="84">
        <v>44450</v>
      </c>
      <c r="AQ95" s="84">
        <v>48520</v>
      </c>
      <c r="AR95" s="84">
        <v>42064</v>
      </c>
      <c r="AS95" s="84">
        <v>46260</v>
      </c>
      <c r="AT95" s="84">
        <v>19000</v>
      </c>
      <c r="AU95" s="84">
        <v>21200</v>
      </c>
      <c r="AV95" s="84">
        <v>24300</v>
      </c>
      <c r="AW95" s="84">
        <v>20385</v>
      </c>
      <c r="AX95" s="84">
        <v>22191</v>
      </c>
      <c r="AY95" s="78">
        <f t="shared" si="84"/>
        <v>108.85945548197205</v>
      </c>
      <c r="AZ95" s="71">
        <f t="shared" si="85"/>
        <v>104.6745283018868</v>
      </c>
      <c r="BA95" s="76">
        <v>50</v>
      </c>
      <c r="BB95" s="72">
        <f>AX95/AS95*100</f>
        <v>47.97016861219196</v>
      </c>
      <c r="BC95" s="72">
        <f>BB95-BA95</f>
        <v>-2.029831387808038</v>
      </c>
      <c r="BD95" s="71">
        <f t="shared" si="68"/>
        <v>47.69403824521935</v>
      </c>
      <c r="CK95" s="47">
        <v>32700</v>
      </c>
      <c r="CL95" s="47">
        <v>36000</v>
      </c>
      <c r="CM95" s="47">
        <v>34615</v>
      </c>
      <c r="CN95" s="47">
        <v>37400</v>
      </c>
      <c r="CO95" s="47">
        <v>38800</v>
      </c>
    </row>
    <row r="96" spans="1:93" ht="18.75">
      <c r="A96" s="62">
        <v>82</v>
      </c>
      <c r="B96" s="66" t="s">
        <v>127</v>
      </c>
      <c r="C96" s="72">
        <v>22927</v>
      </c>
      <c r="D96" s="72">
        <v>25564.2</v>
      </c>
      <c r="E96" s="72">
        <v>28299.5</v>
      </c>
      <c r="F96" s="72">
        <v>22933.1</v>
      </c>
      <c r="G96" s="72">
        <v>25190</v>
      </c>
      <c r="H96" s="74">
        <v>16790</v>
      </c>
      <c r="I96" s="74">
        <v>39813.03</v>
      </c>
      <c r="J96" s="74">
        <v>47775.6</v>
      </c>
      <c r="K96" s="74">
        <v>36247.7</v>
      </c>
      <c r="L96" s="74">
        <v>55248</v>
      </c>
      <c r="M96" s="78">
        <f t="shared" si="86"/>
        <v>152.417946517986</v>
      </c>
      <c r="N96" s="77">
        <f t="shared" si="81"/>
        <v>138.76863931230554</v>
      </c>
      <c r="O96" s="76">
        <v>114</v>
      </c>
      <c r="P96" s="78">
        <f>L96/G96*100</f>
        <v>219.3251290194522</v>
      </c>
      <c r="Q96" s="78">
        <f>P96-O96</f>
        <v>105.32512901945219</v>
      </c>
      <c r="R96" s="71">
        <f t="shared" si="66"/>
        <v>155.73743751026825</v>
      </c>
      <c r="U96" s="39">
        <v>82</v>
      </c>
      <c r="V96" s="66" t="s">
        <v>98</v>
      </c>
      <c r="W96" s="72">
        <v>22927</v>
      </c>
      <c r="X96" s="72">
        <v>25564.2</v>
      </c>
      <c r="Y96" s="72">
        <v>28299.5</v>
      </c>
      <c r="Z96" s="72">
        <v>22933.1</v>
      </c>
      <c r="AA96" s="72">
        <v>25190</v>
      </c>
      <c r="AB96" s="72">
        <v>14710</v>
      </c>
      <c r="AC96" s="72">
        <v>17242.7</v>
      </c>
      <c r="AD96" s="72">
        <v>20691.2</v>
      </c>
      <c r="AE96" s="72">
        <v>16492.03</v>
      </c>
      <c r="AF96" s="72">
        <v>22379</v>
      </c>
      <c r="AG96" s="78">
        <f t="shared" si="82"/>
        <v>135.6958482369969</v>
      </c>
      <c r="AH96" s="71">
        <f t="shared" si="83"/>
        <v>129.78825821942038</v>
      </c>
      <c r="AI96" s="76">
        <v>81</v>
      </c>
      <c r="AJ96" s="72">
        <f>AF96/AA96*100</f>
        <v>88.84080984517666</v>
      </c>
      <c r="AK96" s="72">
        <f>AJ96-AI96</f>
        <v>7.840809845176665</v>
      </c>
      <c r="AL96" s="71">
        <f t="shared" si="67"/>
        <v>67.44861955390742</v>
      </c>
      <c r="AM96" s="39">
        <v>82</v>
      </c>
      <c r="AN96" s="97" t="s">
        <v>98</v>
      </c>
      <c r="AO96" s="72">
        <v>22927</v>
      </c>
      <c r="AP96" s="72">
        <v>25564.2</v>
      </c>
      <c r="AQ96" s="72">
        <v>28299.5</v>
      </c>
      <c r="AR96" s="72">
        <v>22933.1</v>
      </c>
      <c r="AS96" s="72">
        <v>25190</v>
      </c>
      <c r="AT96" s="72">
        <v>8550</v>
      </c>
      <c r="AU96" s="72">
        <v>10027.4</v>
      </c>
      <c r="AV96" s="72">
        <v>12032.9</v>
      </c>
      <c r="AW96" s="72">
        <v>9122.68</v>
      </c>
      <c r="AX96" s="72">
        <v>11218</v>
      </c>
      <c r="AY96" s="78">
        <f t="shared" si="84"/>
        <v>122.96825055795007</v>
      </c>
      <c r="AZ96" s="71">
        <f t="shared" si="85"/>
        <v>111.87346670123861</v>
      </c>
      <c r="BA96" s="76">
        <v>50</v>
      </c>
      <c r="BB96" s="72">
        <f>AX96/AS96*100</f>
        <v>44.53354505756252</v>
      </c>
      <c r="BC96" s="72">
        <f>BB96-BA96</f>
        <v>-5.46645494243748</v>
      </c>
      <c r="BD96" s="71">
        <f t="shared" si="68"/>
        <v>39.22438409963934</v>
      </c>
      <c r="CK96" s="118">
        <v>17726</v>
      </c>
      <c r="CL96" s="118">
        <v>18525</v>
      </c>
      <c r="CM96" s="118">
        <v>16803.1</v>
      </c>
      <c r="CN96" s="118">
        <v>20680</v>
      </c>
      <c r="CO96" s="118">
        <v>23989</v>
      </c>
    </row>
    <row r="97" spans="1:93" s="69" customFormat="1" ht="18.75">
      <c r="A97" s="130">
        <v>83</v>
      </c>
      <c r="B97" s="131" t="s">
        <v>99</v>
      </c>
      <c r="C97" s="78">
        <v>53369</v>
      </c>
      <c r="D97" s="78">
        <v>62856</v>
      </c>
      <c r="E97" s="78">
        <v>69792</v>
      </c>
      <c r="F97" s="83">
        <v>56615</v>
      </c>
      <c r="G97" s="78"/>
      <c r="H97" s="76">
        <v>67357</v>
      </c>
      <c r="I97" s="76">
        <v>74227</v>
      </c>
      <c r="J97" s="76">
        <v>76150</v>
      </c>
      <c r="K97" s="163">
        <v>66972.94595466429</v>
      </c>
      <c r="L97" s="76">
        <v>65427</v>
      </c>
      <c r="M97" s="78">
        <f t="shared" si="86"/>
        <v>97.69168589998895</v>
      </c>
      <c r="N97" s="77">
        <f t="shared" si="81"/>
        <v>88.14447572985571</v>
      </c>
      <c r="O97" s="78">
        <v>129</v>
      </c>
      <c r="P97" s="78"/>
      <c r="Q97" s="78"/>
      <c r="R97" s="77">
        <f t="shared" si="66"/>
        <v>118.09055619193076</v>
      </c>
      <c r="S97" s="134"/>
      <c r="U97" s="135">
        <v>83</v>
      </c>
      <c r="V97" s="131" t="s">
        <v>99</v>
      </c>
      <c r="W97" s="78">
        <v>53369</v>
      </c>
      <c r="X97" s="78">
        <v>62856</v>
      </c>
      <c r="Y97" s="78">
        <v>69792</v>
      </c>
      <c r="Z97" s="83">
        <v>56615</v>
      </c>
      <c r="AA97" s="78"/>
      <c r="AB97" s="78">
        <v>39302</v>
      </c>
      <c r="AC97" s="78">
        <v>42925</v>
      </c>
      <c r="AD97" s="78">
        <v>51116</v>
      </c>
      <c r="AE97" s="163">
        <v>39278.38267165647</v>
      </c>
      <c r="AF97" s="78">
        <v>45433</v>
      </c>
      <c r="AG97" s="78">
        <f t="shared" si="82"/>
        <v>115.66922288983335</v>
      </c>
      <c r="AH97" s="77">
        <f t="shared" si="83"/>
        <v>105.84274898078043</v>
      </c>
      <c r="AI97" s="78">
        <v>75</v>
      </c>
      <c r="AJ97" s="78"/>
      <c r="AK97" s="78"/>
      <c r="AL97" s="77">
        <f t="shared" si="67"/>
        <v>68.29101438207968</v>
      </c>
      <c r="AM97" s="135">
        <v>83</v>
      </c>
      <c r="AN97" s="136" t="s">
        <v>99</v>
      </c>
      <c r="AO97" s="78">
        <v>53369</v>
      </c>
      <c r="AP97" s="78">
        <v>62856</v>
      </c>
      <c r="AQ97" s="78">
        <v>69792</v>
      </c>
      <c r="AR97" s="83">
        <v>56615</v>
      </c>
      <c r="AS97" s="78"/>
      <c r="AT97" s="78">
        <v>20212</v>
      </c>
      <c r="AU97" s="78">
        <v>20271</v>
      </c>
      <c r="AV97" s="78">
        <v>30485</v>
      </c>
      <c r="AW97" s="163">
        <v>18286.88796523495</v>
      </c>
      <c r="AX97" s="78">
        <v>27934</v>
      </c>
      <c r="AY97" s="78">
        <f t="shared" si="84"/>
        <v>152.75425787649104</v>
      </c>
      <c r="AZ97" s="77">
        <f t="shared" si="85"/>
        <v>137.80277243352572</v>
      </c>
      <c r="BA97" s="78">
        <v>50</v>
      </c>
      <c r="BB97" s="72"/>
      <c r="BC97" s="78"/>
      <c r="BD97" s="77">
        <f t="shared" si="68"/>
        <v>32.249904543718976</v>
      </c>
      <c r="BE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K97" s="137">
        <v>36791</v>
      </c>
      <c r="CL97" s="137">
        <v>39978</v>
      </c>
      <c r="CM97" s="164">
        <v>36412.89037207866</v>
      </c>
      <c r="CN97" s="137">
        <v>43129</v>
      </c>
      <c r="CO97" s="137">
        <v>46155</v>
      </c>
    </row>
    <row r="98" spans="17:81" ht="12.75">
      <c r="Q98"/>
      <c r="S98" s="60"/>
      <c r="AK98"/>
      <c r="AL98" s="60"/>
      <c r="AM98" s="93"/>
      <c r="AN98" s="60"/>
      <c r="AY98" s="69"/>
      <c r="AZ98" s="60"/>
      <c r="BC98"/>
      <c r="BE98" s="60"/>
      <c r="BM98"/>
      <c r="CC98" s="60"/>
    </row>
    <row r="99" spans="16:55" ht="20.25">
      <c r="P99" s="173">
        <v>41390</v>
      </c>
      <c r="Q99" s="172" t="s">
        <v>129</v>
      </c>
      <c r="AJ99" s="173">
        <v>41390</v>
      </c>
      <c r="AK99" s="172" t="s">
        <v>129</v>
      </c>
      <c r="BB99" s="173">
        <v>41390</v>
      </c>
      <c r="BC99" s="172" t="s">
        <v>129</v>
      </c>
    </row>
    <row r="100" ht="12.75">
      <c r="AH100" s="60" t="s">
        <v>119</v>
      </c>
    </row>
  </sheetData>
  <mergeCells count="14">
    <mergeCell ref="C1:R1"/>
    <mergeCell ref="H2:R2"/>
    <mergeCell ref="C2:G2"/>
    <mergeCell ref="AO1:BD1"/>
    <mergeCell ref="W1:AL1"/>
    <mergeCell ref="AB2:AL2"/>
    <mergeCell ref="H3:L3"/>
    <mergeCell ref="AB3:AF3"/>
    <mergeCell ref="CK2:CO2"/>
    <mergeCell ref="AT2:BD2"/>
    <mergeCell ref="W2:AA3"/>
    <mergeCell ref="AO2:AS3"/>
    <mergeCell ref="AT3:AX3"/>
    <mergeCell ref="CK3:CO3"/>
  </mergeCells>
  <printOptions/>
  <pageMargins left="0.16" right="0.16" top="0.16" bottom="0.2" header="0.16" footer="0.16"/>
  <pageSetup horizontalDpi="600" verticalDpi="600" orientation="landscape" paperSize="8" scale="41" r:id="rId1"/>
  <colBreaks count="3" manualBreakCount="3">
    <brk id="19" max="98" man="1"/>
    <brk id="38" max="98" man="1"/>
    <brk id="5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96"/>
  <sheetViews>
    <sheetView zoomScale="95" zoomScaleNormal="95" workbookViewId="0" topLeftCell="A1">
      <pane ySplit="4" topLeftCell="BM73" activePane="bottomLeft" state="frozen"/>
      <selection pane="topLeft" activeCell="A1" sqref="A1"/>
      <selection pane="bottomLeft" activeCell="V90" sqref="V90"/>
    </sheetView>
  </sheetViews>
  <sheetFormatPr defaultColWidth="9.140625" defaultRowHeight="12.75"/>
  <cols>
    <col min="2" max="2" width="44.7109375" style="0" customWidth="1"/>
    <col min="3" max="21" width="19.421875" style="0" customWidth="1"/>
    <col min="22" max="22" width="23.00390625" style="0" customWidth="1"/>
  </cols>
  <sheetData>
    <row r="1" spans="2:22" ht="34.5">
      <c r="B1" s="219" t="s">
        <v>121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1:22" ht="15.75">
      <c r="A2" s="2"/>
      <c r="B2" s="2"/>
      <c r="C2" s="220" t="s">
        <v>8</v>
      </c>
      <c r="D2" s="221"/>
      <c r="E2" s="221"/>
      <c r="F2" s="221"/>
      <c r="G2" s="222"/>
      <c r="H2" s="197" t="s">
        <v>9</v>
      </c>
      <c r="I2" s="198"/>
      <c r="J2" s="198"/>
      <c r="K2" s="198"/>
      <c r="L2" s="218"/>
      <c r="M2" s="197" t="s">
        <v>10</v>
      </c>
      <c r="N2" s="198"/>
      <c r="O2" s="198"/>
      <c r="P2" s="198"/>
      <c r="Q2" s="218"/>
      <c r="R2" s="197" t="s">
        <v>11</v>
      </c>
      <c r="S2" s="198"/>
      <c r="T2" s="198"/>
      <c r="U2" s="198"/>
      <c r="V2" s="218"/>
    </row>
    <row r="3" spans="1:22" ht="15.75">
      <c r="A3" s="2"/>
      <c r="B3" s="2"/>
      <c r="C3" s="217" t="s">
        <v>114</v>
      </c>
      <c r="D3" s="217"/>
      <c r="E3" s="217"/>
      <c r="F3" s="217"/>
      <c r="G3" s="217"/>
      <c r="H3" s="208" t="s">
        <v>7</v>
      </c>
      <c r="I3" s="208"/>
      <c r="J3" s="208"/>
      <c r="K3" s="208"/>
      <c r="L3" s="208"/>
      <c r="M3" s="208" t="s">
        <v>7</v>
      </c>
      <c r="N3" s="208"/>
      <c r="O3" s="208"/>
      <c r="P3" s="208"/>
      <c r="Q3" s="208"/>
      <c r="R3" s="208" t="s">
        <v>7</v>
      </c>
      <c r="S3" s="208"/>
      <c r="T3" s="208"/>
      <c r="U3" s="208"/>
      <c r="V3" s="208"/>
    </row>
    <row r="4" spans="1:22" ht="36">
      <c r="A4" s="2" t="s">
        <v>1</v>
      </c>
      <c r="B4" s="2" t="s">
        <v>13</v>
      </c>
      <c r="C4" s="99" t="s">
        <v>4</v>
      </c>
      <c r="D4" s="99" t="s">
        <v>5</v>
      </c>
      <c r="E4" s="99" t="s">
        <v>34</v>
      </c>
      <c r="F4" s="99" t="s">
        <v>12</v>
      </c>
      <c r="G4" s="99" t="s">
        <v>6</v>
      </c>
      <c r="H4" s="99" t="s">
        <v>4</v>
      </c>
      <c r="I4" s="99" t="s">
        <v>5</v>
      </c>
      <c r="J4" s="99" t="s">
        <v>15</v>
      </c>
      <c r="K4" s="99" t="s">
        <v>2</v>
      </c>
      <c r="L4" s="99" t="s">
        <v>6</v>
      </c>
      <c r="M4" s="99" t="s">
        <v>4</v>
      </c>
      <c r="N4" s="99" t="s">
        <v>5</v>
      </c>
      <c r="O4" s="99" t="s">
        <v>15</v>
      </c>
      <c r="P4" s="99" t="s">
        <v>2</v>
      </c>
      <c r="Q4" s="99" t="s">
        <v>6</v>
      </c>
      <c r="R4" s="99" t="s">
        <v>4</v>
      </c>
      <c r="S4" s="99" t="s">
        <v>5</v>
      </c>
      <c r="T4" s="99" t="s">
        <v>14</v>
      </c>
      <c r="U4" s="99" t="s">
        <v>2</v>
      </c>
      <c r="V4" s="99" t="s">
        <v>6</v>
      </c>
    </row>
    <row r="5" spans="1:22" ht="18">
      <c r="A5" s="2"/>
      <c r="B5" s="2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ht="18">
      <c r="A6" s="2"/>
      <c r="B6" s="32" t="s">
        <v>100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ht="18">
      <c r="A7" s="2">
        <v>1</v>
      </c>
      <c r="B7" s="2" t="s">
        <v>0</v>
      </c>
      <c r="C7" s="100">
        <v>1730832.7</v>
      </c>
      <c r="D7" s="100">
        <v>1927350</v>
      </c>
      <c r="E7" s="100">
        <v>424758.1</v>
      </c>
      <c r="F7" s="100">
        <f>361681.4*1.302</f>
        <v>470909.18280000007</v>
      </c>
      <c r="G7" s="100">
        <f>2276579.9</f>
        <v>2276579.9</v>
      </c>
      <c r="H7" s="100">
        <v>3006314.5</v>
      </c>
      <c r="I7" s="100">
        <v>3357872.4</v>
      </c>
      <c r="J7" s="100">
        <v>761068.3</v>
      </c>
      <c r="K7" s="100">
        <f>640186*1.302</f>
        <v>833522.172</v>
      </c>
      <c r="L7" s="100">
        <v>3953286.5</v>
      </c>
      <c r="M7" s="100">
        <v>774057.2</v>
      </c>
      <c r="N7" s="100">
        <v>978018.6</v>
      </c>
      <c r="O7" s="100">
        <v>210881.2</v>
      </c>
      <c r="P7" s="100">
        <f>182748*1.302</f>
        <v>237937.896</v>
      </c>
      <c r="Q7" s="100">
        <v>1147849.4</v>
      </c>
      <c r="R7" s="100">
        <v>6714650</v>
      </c>
      <c r="S7" s="100">
        <v>7474013</v>
      </c>
      <c r="T7" s="100">
        <v>1816414.9</v>
      </c>
      <c r="U7" s="100">
        <f>1520396*1.302</f>
        <v>1979555.5920000002</v>
      </c>
      <c r="V7" s="100">
        <v>9318505.6</v>
      </c>
    </row>
    <row r="8" spans="1:22" ht="18">
      <c r="A8" s="2">
        <v>2</v>
      </c>
      <c r="B8" s="2" t="s">
        <v>16</v>
      </c>
      <c r="C8" s="100">
        <v>935088.31</v>
      </c>
      <c r="D8" s="100">
        <v>1166833.3</v>
      </c>
      <c r="E8" s="100">
        <v>238862.4</v>
      </c>
      <c r="F8" s="100">
        <v>272732.2</v>
      </c>
      <c r="G8" s="100">
        <v>1281373.6</v>
      </c>
      <c r="H8" s="100">
        <v>1557625.25</v>
      </c>
      <c r="I8" s="100">
        <v>1932117.26</v>
      </c>
      <c r="J8" s="100">
        <v>379819.04</v>
      </c>
      <c r="K8" s="100">
        <v>445443.6</v>
      </c>
      <c r="L8" s="100">
        <v>2311525.5</v>
      </c>
      <c r="M8" s="100">
        <v>386878.67</v>
      </c>
      <c r="N8" s="100">
        <v>483653.7</v>
      </c>
      <c r="O8" s="100">
        <v>109661.97</v>
      </c>
      <c r="P8" s="100">
        <v>125880</v>
      </c>
      <c r="Q8" s="100">
        <v>602419.4</v>
      </c>
      <c r="R8" s="100">
        <v>3510288.21</v>
      </c>
      <c r="S8" s="100">
        <v>4332280.3</v>
      </c>
      <c r="T8" s="100">
        <v>962154.4</v>
      </c>
      <c r="U8" s="100">
        <v>1110776.6</v>
      </c>
      <c r="V8" s="100">
        <v>4605888</v>
      </c>
    </row>
    <row r="9" spans="1:22" ht="18">
      <c r="A9" s="2">
        <v>3</v>
      </c>
      <c r="B9" s="2" t="s">
        <v>17</v>
      </c>
      <c r="C9" s="100">
        <v>1920100.0000000002</v>
      </c>
      <c r="D9" s="100">
        <v>1812087</v>
      </c>
      <c r="E9" s="100">
        <v>321493300</v>
      </c>
      <c r="F9" s="100">
        <f>(15768+300885)*1000</f>
        <v>316653000</v>
      </c>
      <c r="G9" s="100">
        <v>2022200</v>
      </c>
      <c r="H9" s="100">
        <v>2425932.068736</v>
      </c>
      <c r="I9" s="100">
        <v>2654289</v>
      </c>
      <c r="J9" s="100">
        <v>473795.12</v>
      </c>
      <c r="K9" s="100">
        <v>498824.7</v>
      </c>
      <c r="L9" s="100">
        <v>2976496</v>
      </c>
      <c r="M9" s="100">
        <v>481877.5699584</v>
      </c>
      <c r="N9" s="100">
        <v>544332</v>
      </c>
      <c r="O9" s="100">
        <v>97688.67</v>
      </c>
      <c r="P9" s="100">
        <v>104824.2</v>
      </c>
      <c r="Q9" s="100">
        <v>697624</v>
      </c>
      <c r="R9" s="100">
        <f>4536815888.16189/1000</f>
        <v>4536815.88816189</v>
      </c>
      <c r="S9" s="102">
        <f>5002604210.7666/1000</f>
        <v>5002604.2107665995</v>
      </c>
      <c r="T9" s="102">
        <v>1165967.59</v>
      </c>
      <c r="U9" s="102">
        <v>1189511.5</v>
      </c>
      <c r="V9" s="102">
        <v>5386219.3</v>
      </c>
    </row>
    <row r="10" spans="1:22" ht="18">
      <c r="A10" s="2">
        <v>4</v>
      </c>
      <c r="B10" s="2" t="s">
        <v>18</v>
      </c>
      <c r="C10" s="100">
        <v>2231541</v>
      </c>
      <c r="D10" s="100">
        <v>2615527.7</v>
      </c>
      <c r="E10" s="100">
        <v>576412.2</v>
      </c>
      <c r="F10" s="100">
        <v>634120.8</v>
      </c>
      <c r="G10" s="100">
        <v>2875217.4</v>
      </c>
      <c r="H10" s="100">
        <v>2891817.3</v>
      </c>
      <c r="I10" s="100">
        <v>3423833.7</v>
      </c>
      <c r="J10" s="100">
        <v>823242.4</v>
      </c>
      <c r="K10" s="100">
        <v>862812.4</v>
      </c>
      <c r="L10" s="100">
        <v>3692512</v>
      </c>
      <c r="M10" s="100">
        <v>818510.1</v>
      </c>
      <c r="N10" s="100">
        <v>972825.9</v>
      </c>
      <c r="O10" s="100">
        <v>233988.1</v>
      </c>
      <c r="P10" s="100">
        <v>256213</v>
      </c>
      <c r="Q10" s="100">
        <v>1075099.1</v>
      </c>
      <c r="R10" s="100">
        <v>7257903</v>
      </c>
      <c r="S10" s="100">
        <v>8705648.8</v>
      </c>
      <c r="T10" s="100">
        <v>2020717.8</v>
      </c>
      <c r="U10" s="100">
        <v>2218825.6</v>
      </c>
      <c r="V10" s="100">
        <v>9374009.4</v>
      </c>
    </row>
    <row r="11" spans="1:22" ht="18">
      <c r="A11" s="2">
        <v>5</v>
      </c>
      <c r="B11" s="2" t="s">
        <v>19</v>
      </c>
      <c r="C11" s="103">
        <v>182650.7</v>
      </c>
      <c r="D11" s="103">
        <v>1607347.6</v>
      </c>
      <c r="E11" s="100">
        <v>353717.87037300004</v>
      </c>
      <c r="F11" s="103">
        <v>373706.9</v>
      </c>
      <c r="G11" s="103">
        <v>1645666.9</v>
      </c>
      <c r="H11" s="103">
        <v>1567889.1</v>
      </c>
      <c r="I11" s="103">
        <v>1882817.9</v>
      </c>
      <c r="J11" s="100">
        <v>431255.75724</v>
      </c>
      <c r="K11" s="103">
        <v>488797.9</v>
      </c>
      <c r="L11" s="103">
        <v>2015320.5</v>
      </c>
      <c r="M11" s="103">
        <v>363231</v>
      </c>
      <c r="N11" s="103">
        <v>386245.9</v>
      </c>
      <c r="O11" s="100">
        <v>386245.8849312</v>
      </c>
      <c r="P11" s="103">
        <v>107564.2</v>
      </c>
      <c r="Q11" s="103">
        <v>542342.6</v>
      </c>
      <c r="R11" s="103">
        <v>4553378.6</v>
      </c>
      <c r="S11" s="103">
        <v>4706797.4</v>
      </c>
      <c r="T11" s="100">
        <v>4706797.433184</v>
      </c>
      <c r="U11" s="103">
        <v>1242820.3</v>
      </c>
      <c r="V11" s="103">
        <v>5798403.1</v>
      </c>
    </row>
    <row r="12" spans="1:22" ht="18">
      <c r="A12" s="2">
        <v>6</v>
      </c>
      <c r="B12" s="2" t="s">
        <v>20</v>
      </c>
      <c r="C12" s="103">
        <v>918989</v>
      </c>
      <c r="D12" s="103">
        <v>1128939</v>
      </c>
      <c r="E12" s="103">
        <v>237683</v>
      </c>
      <c r="F12" s="103">
        <v>269880</v>
      </c>
      <c r="G12" s="103">
        <v>1353919</v>
      </c>
      <c r="H12" s="103">
        <v>1351612</v>
      </c>
      <c r="I12" s="103">
        <v>1781486</v>
      </c>
      <c r="J12" s="103">
        <v>396471</v>
      </c>
      <c r="K12" s="103">
        <v>432246</v>
      </c>
      <c r="L12" s="103">
        <v>1828417</v>
      </c>
      <c r="M12" s="103">
        <v>367275</v>
      </c>
      <c r="N12" s="103">
        <v>419924</v>
      </c>
      <c r="O12" s="103">
        <v>99311</v>
      </c>
      <c r="P12" s="103">
        <v>106266</v>
      </c>
      <c r="Q12" s="103">
        <v>498567</v>
      </c>
      <c r="R12" s="103">
        <v>3217436</v>
      </c>
      <c r="S12" s="103">
        <v>4421505</v>
      </c>
      <c r="T12" s="103">
        <v>979365</v>
      </c>
      <c r="U12" s="103">
        <v>1082661</v>
      </c>
      <c r="V12" s="103">
        <v>4689128</v>
      </c>
    </row>
    <row r="13" spans="1:22" ht="18">
      <c r="A13" s="2">
        <v>7</v>
      </c>
      <c r="B13" s="2" t="s">
        <v>21</v>
      </c>
      <c r="C13" s="100">
        <v>744122.05</v>
      </c>
      <c r="D13" s="100">
        <v>777823.22</v>
      </c>
      <c r="E13" s="100">
        <v>182096.1</v>
      </c>
      <c r="F13" s="100">
        <v>201316.5</v>
      </c>
      <c r="G13" s="100">
        <v>991280.27</v>
      </c>
      <c r="H13" s="100">
        <v>1310112.74</v>
      </c>
      <c r="I13" s="100">
        <v>1362252.19</v>
      </c>
      <c r="J13" s="100">
        <v>326272</v>
      </c>
      <c r="K13" s="100">
        <v>351704.05</v>
      </c>
      <c r="L13" s="100">
        <v>1584260.07</v>
      </c>
      <c r="M13" s="100">
        <v>310935.95</v>
      </c>
      <c r="N13" s="100">
        <v>357943.78</v>
      </c>
      <c r="O13" s="100">
        <v>192283.9</v>
      </c>
      <c r="P13" s="100">
        <v>97519.8</v>
      </c>
      <c r="Q13" s="100">
        <v>414489.97</v>
      </c>
      <c r="R13" s="100">
        <v>2872627.1</v>
      </c>
      <c r="S13" s="100">
        <v>2936024.6</v>
      </c>
      <c r="T13" s="100">
        <v>739371.4</v>
      </c>
      <c r="U13" s="100">
        <v>807291.2</v>
      </c>
      <c r="V13" s="100">
        <v>3454316</v>
      </c>
    </row>
    <row r="14" spans="1:22" ht="18">
      <c r="A14" s="2">
        <v>8</v>
      </c>
      <c r="B14" s="2" t="s">
        <v>22</v>
      </c>
      <c r="C14" s="103">
        <v>1038345.8</v>
      </c>
      <c r="D14" s="103">
        <v>1213839.3</v>
      </c>
      <c r="E14" s="103">
        <v>256509</v>
      </c>
      <c r="F14" s="103">
        <v>348207.73</v>
      </c>
      <c r="G14" s="103">
        <v>1442062.89</v>
      </c>
      <c r="H14" s="103">
        <v>1363654</v>
      </c>
      <c r="I14" s="103">
        <v>1579820.4</v>
      </c>
      <c r="J14" s="103">
        <v>350323</v>
      </c>
      <c r="K14" s="103">
        <v>505689.31</v>
      </c>
      <c r="L14" s="103">
        <v>2083510.5</v>
      </c>
      <c r="M14" s="103">
        <v>380329.4</v>
      </c>
      <c r="N14" s="103">
        <v>442290</v>
      </c>
      <c r="O14" s="103">
        <v>100012</v>
      </c>
      <c r="P14" s="103">
        <v>155783</v>
      </c>
      <c r="Q14" s="103">
        <v>648627.21</v>
      </c>
      <c r="R14" s="103">
        <v>3411046</v>
      </c>
      <c r="S14" s="103">
        <v>3928760.6</v>
      </c>
      <c r="T14" s="103">
        <v>864932</v>
      </c>
      <c r="U14" s="103">
        <v>1133848.1</v>
      </c>
      <c r="V14" s="103">
        <v>4378605.6</v>
      </c>
    </row>
    <row r="15" spans="1:22" ht="18">
      <c r="A15" s="2">
        <v>9</v>
      </c>
      <c r="B15" s="2" t="s">
        <v>23</v>
      </c>
      <c r="C15" s="103">
        <v>920289</v>
      </c>
      <c r="D15" s="103">
        <v>1091517</v>
      </c>
      <c r="E15" s="103">
        <v>231378</v>
      </c>
      <c r="F15" s="103">
        <v>290618</v>
      </c>
      <c r="G15" s="103">
        <v>1479878</v>
      </c>
      <c r="H15" s="103">
        <v>1556729</v>
      </c>
      <c r="I15" s="103">
        <v>1777204</v>
      </c>
      <c r="J15" s="103">
        <v>391297</v>
      </c>
      <c r="K15" s="103">
        <v>477256</v>
      </c>
      <c r="L15" s="103">
        <v>2438806</v>
      </c>
      <c r="M15" s="103">
        <v>480124</v>
      </c>
      <c r="N15" s="103">
        <v>528884</v>
      </c>
      <c r="O15" s="103">
        <v>122141</v>
      </c>
      <c r="P15" s="103">
        <v>144159</v>
      </c>
      <c r="Q15" s="103">
        <v>731574</v>
      </c>
      <c r="R15" s="103">
        <v>3787859</v>
      </c>
      <c r="S15" s="103">
        <v>4361017</v>
      </c>
      <c r="T15" s="103">
        <v>964584</v>
      </c>
      <c r="U15" s="103">
        <v>1175509</v>
      </c>
      <c r="V15" s="103">
        <v>5518610</v>
      </c>
    </row>
    <row r="16" spans="1:22" ht="18">
      <c r="A16" s="2">
        <v>10</v>
      </c>
      <c r="B16" s="2" t="s">
        <v>24</v>
      </c>
      <c r="C16" s="100">
        <v>11810286.5</v>
      </c>
      <c r="D16" s="100">
        <v>14908448.4</v>
      </c>
      <c r="E16" s="100">
        <f>2771060.7*1.302</f>
        <v>3607921.0314</v>
      </c>
      <c r="F16" s="100">
        <v>3122629.57</v>
      </c>
      <c r="G16" s="100">
        <f>E16*1.07</f>
        <v>3860475.5035980004</v>
      </c>
      <c r="H16" s="100">
        <v>15925327.1</v>
      </c>
      <c r="I16" s="100">
        <v>19547695</v>
      </c>
      <c r="J16" s="100">
        <f>3722685.6*1.302</f>
        <v>4846936.6512</v>
      </c>
      <c r="K16" s="100">
        <v>4229958.31</v>
      </c>
      <c r="L16" s="100">
        <f>J16*1.15</f>
        <v>5573977.14888</v>
      </c>
      <c r="M16" s="100">
        <v>2808760.8</v>
      </c>
      <c r="N16" s="100">
        <v>4577177.2</v>
      </c>
      <c r="O16" s="100">
        <f>922424.1*1.302</f>
        <v>1200996.1782</v>
      </c>
      <c r="P16" s="100">
        <v>1031517.14</v>
      </c>
      <c r="Q16" s="100">
        <f>O16*1.233</f>
        <v>1480828.2877206001</v>
      </c>
      <c r="R16" s="100">
        <v>29252812.1</v>
      </c>
      <c r="S16" s="100">
        <v>47901309</v>
      </c>
      <c r="T16" s="100">
        <f>9222370.9*1.302</f>
        <v>12007526.9118</v>
      </c>
      <c r="U16" s="100">
        <v>10507239.49</v>
      </c>
      <c r="V16" s="100">
        <f>T16*1.1</f>
        <v>13208279.602980003</v>
      </c>
    </row>
    <row r="17" spans="1:22" ht="18">
      <c r="A17" s="2">
        <v>11</v>
      </c>
      <c r="B17" s="2" t="s">
        <v>25</v>
      </c>
      <c r="C17" s="100">
        <v>535650</v>
      </c>
      <c r="D17" s="100">
        <v>704672.1</v>
      </c>
      <c r="E17" s="100">
        <v>165116.23</v>
      </c>
      <c r="F17" s="100">
        <v>198818.4</v>
      </c>
      <c r="G17" s="100">
        <v>972668.97</v>
      </c>
      <c r="H17" s="100">
        <v>858480</v>
      </c>
      <c r="I17" s="100">
        <v>1119585.3</v>
      </c>
      <c r="J17" s="100">
        <v>267263.99</v>
      </c>
      <c r="K17" s="100">
        <v>317890.1</v>
      </c>
      <c r="L17" s="100">
        <v>1324245.76</v>
      </c>
      <c r="M17" s="100">
        <v>204860</v>
      </c>
      <c r="N17" s="100">
        <v>253686.6</v>
      </c>
      <c r="O17" s="100">
        <v>59678.93</v>
      </c>
      <c r="P17" s="100">
        <v>65033.8</v>
      </c>
      <c r="Q17" s="100">
        <v>309463.9</v>
      </c>
      <c r="R17" s="100">
        <v>2064580</v>
      </c>
      <c r="S17" s="100">
        <v>2698169.21</v>
      </c>
      <c r="T17" s="100">
        <v>616915.43</v>
      </c>
      <c r="U17" s="100">
        <v>745475</v>
      </c>
      <c r="V17" s="100">
        <v>3114301.7</v>
      </c>
    </row>
    <row r="18" spans="1:22" ht="18">
      <c r="A18" s="2">
        <v>12</v>
      </c>
      <c r="B18" s="2" t="s">
        <v>26</v>
      </c>
      <c r="C18" s="100">
        <v>1580420</v>
      </c>
      <c r="D18" s="100">
        <v>1965820</v>
      </c>
      <c r="E18" s="100">
        <v>407561.23</v>
      </c>
      <c r="F18" s="100">
        <v>477900</v>
      </c>
      <c r="G18" s="100">
        <v>2062880</v>
      </c>
      <c r="H18" s="100">
        <v>2086000</v>
      </c>
      <c r="I18" s="100">
        <v>2387090</v>
      </c>
      <c r="J18" s="100">
        <v>510330.94</v>
      </c>
      <c r="K18" s="100">
        <v>596421</v>
      </c>
      <c r="L18" s="100">
        <v>2910910</v>
      </c>
      <c r="M18" s="100">
        <v>452330</v>
      </c>
      <c r="N18" s="100">
        <v>543160</v>
      </c>
      <c r="O18" s="100">
        <v>120294.2</v>
      </c>
      <c r="P18" s="100">
        <v>138517</v>
      </c>
      <c r="Q18" s="100">
        <v>773960</v>
      </c>
      <c r="R18" s="100">
        <v>5407547</v>
      </c>
      <c r="S18" s="100">
        <v>6276150</v>
      </c>
      <c r="T18" s="100">
        <v>1315933.12</v>
      </c>
      <c r="U18" s="100">
        <v>1551959</v>
      </c>
      <c r="V18" s="100">
        <v>6363516</v>
      </c>
    </row>
    <row r="19" spans="1:22" ht="18">
      <c r="A19" s="2">
        <v>13</v>
      </c>
      <c r="B19" s="2" t="s">
        <v>27</v>
      </c>
      <c r="C19" s="100">
        <v>1092291</v>
      </c>
      <c r="D19" s="100">
        <v>1279440.7</v>
      </c>
      <c r="E19" s="103"/>
      <c r="F19" s="100">
        <v>330136.4</v>
      </c>
      <c r="G19" s="100">
        <v>1619819</v>
      </c>
      <c r="H19" s="100">
        <v>1540227</v>
      </c>
      <c r="I19" s="100">
        <v>1593258</v>
      </c>
      <c r="J19" s="103"/>
      <c r="K19" s="100">
        <v>428598.8</v>
      </c>
      <c r="L19" s="100">
        <v>2182739</v>
      </c>
      <c r="M19" s="100">
        <v>535786</v>
      </c>
      <c r="N19" s="100">
        <v>507504</v>
      </c>
      <c r="O19" s="103"/>
      <c r="P19" s="100">
        <v>130125.8</v>
      </c>
      <c r="Q19" s="100">
        <v>758575</v>
      </c>
      <c r="R19" s="100">
        <v>789491.3</v>
      </c>
      <c r="S19" s="100">
        <v>860955</v>
      </c>
      <c r="T19" s="103"/>
      <c r="U19" s="100">
        <v>232617.8</v>
      </c>
      <c r="V19" s="100">
        <v>1147419</v>
      </c>
    </row>
    <row r="20" spans="1:22" ht="18">
      <c r="A20" s="2">
        <v>14</v>
      </c>
      <c r="B20" s="2" t="s">
        <v>28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</row>
    <row r="21" spans="1:22" ht="18">
      <c r="A21" s="2">
        <v>15</v>
      </c>
      <c r="B21" s="2" t="s">
        <v>29</v>
      </c>
      <c r="C21" s="103">
        <v>1020706.4</v>
      </c>
      <c r="D21" s="103">
        <v>1451286.8</v>
      </c>
      <c r="E21" s="103">
        <v>331217</v>
      </c>
      <c r="F21" s="103">
        <v>352249.7</v>
      </c>
      <c r="G21" s="103">
        <v>1615927.7</v>
      </c>
      <c r="H21" s="103">
        <v>1641530.9</v>
      </c>
      <c r="I21" s="103">
        <v>2167270.7</v>
      </c>
      <c r="J21" s="103">
        <v>500269</v>
      </c>
      <c r="K21" s="103">
        <v>525023.4</v>
      </c>
      <c r="L21" s="103">
        <v>2404379.9</v>
      </c>
      <c r="M21" s="103">
        <v>374166.1</v>
      </c>
      <c r="N21" s="103">
        <v>453933.3</v>
      </c>
      <c r="O21" s="103">
        <v>111554</v>
      </c>
      <c r="P21" s="103">
        <v>115455.9</v>
      </c>
      <c r="Q21" s="103">
        <v>676759.5</v>
      </c>
      <c r="R21" s="103">
        <v>4603980.6</v>
      </c>
      <c r="S21" s="103">
        <v>5231731</v>
      </c>
      <c r="T21" s="103">
        <v>1219511</v>
      </c>
      <c r="U21" s="103">
        <v>1277534.3</v>
      </c>
      <c r="V21" s="103">
        <v>7026417.9</v>
      </c>
    </row>
    <row r="22" spans="1:22" ht="18">
      <c r="A22" s="2">
        <v>16</v>
      </c>
      <c r="B22" s="2" t="s">
        <v>30</v>
      </c>
      <c r="C22" s="103">
        <v>1744540</v>
      </c>
      <c r="D22" s="103">
        <v>2026500</v>
      </c>
      <c r="E22" s="103">
        <v>422188</v>
      </c>
      <c r="F22" s="103">
        <v>448592</v>
      </c>
      <c r="G22" s="103">
        <v>2153510</v>
      </c>
      <c r="H22" s="103">
        <v>2505070</v>
      </c>
      <c r="I22" s="103">
        <v>3362132</v>
      </c>
      <c r="J22" s="103">
        <v>700444</v>
      </c>
      <c r="K22" s="103">
        <v>798582</v>
      </c>
      <c r="L22" s="103">
        <v>3333696</v>
      </c>
      <c r="M22" s="103">
        <v>657870</v>
      </c>
      <c r="N22" s="103">
        <v>834894</v>
      </c>
      <c r="O22" s="103">
        <v>173936</v>
      </c>
      <c r="P22" s="103">
        <v>216521</v>
      </c>
      <c r="Q22" s="103">
        <v>1114432</v>
      </c>
      <c r="R22" s="103">
        <v>7013989</v>
      </c>
      <c r="S22" s="103">
        <v>8108023</v>
      </c>
      <c r="T22" s="103">
        <v>1689171</v>
      </c>
      <c r="U22" s="103">
        <v>1957602</v>
      </c>
      <c r="V22" s="103">
        <v>8050967</v>
      </c>
    </row>
    <row r="23" spans="1:22" ht="18">
      <c r="A23" s="2">
        <v>17</v>
      </c>
      <c r="B23" s="2" t="s">
        <v>31</v>
      </c>
      <c r="C23" s="104">
        <v>1987463</v>
      </c>
      <c r="D23" s="104">
        <v>2364797</v>
      </c>
      <c r="E23" s="103"/>
      <c r="F23" s="104">
        <f>430384.8*1.302</f>
        <v>560361.0096</v>
      </c>
      <c r="G23" s="104">
        <v>2704460</v>
      </c>
      <c r="H23" s="104">
        <v>2757399</v>
      </c>
      <c r="I23" s="104">
        <v>2757399</v>
      </c>
      <c r="J23" s="103"/>
      <c r="K23" s="104">
        <f>567137.3*1.302</f>
        <v>738412.7646000001</v>
      </c>
      <c r="L23" s="104">
        <v>3172118</v>
      </c>
      <c r="M23" s="104">
        <v>565094</v>
      </c>
      <c r="N23" s="104">
        <v>618586</v>
      </c>
      <c r="O23" s="103"/>
      <c r="P23" s="104">
        <f>132589.3*1.302</f>
        <v>172631.26859999998</v>
      </c>
      <c r="Q23" s="104">
        <v>959199</v>
      </c>
      <c r="R23" s="104">
        <v>5766580</v>
      </c>
      <c r="S23" s="104">
        <v>6983153</v>
      </c>
      <c r="T23" s="103"/>
      <c r="U23" s="104">
        <f>1427736.8*1.302</f>
        <v>1858913.3136000002</v>
      </c>
      <c r="V23" s="104">
        <v>8150131</v>
      </c>
    </row>
    <row r="24" spans="1:22" ht="18">
      <c r="A24" s="2">
        <v>18</v>
      </c>
      <c r="B24" s="2" t="s">
        <v>32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</row>
    <row r="25" spans="1:22" ht="18">
      <c r="A25" s="2"/>
      <c r="B25" s="33" t="s">
        <v>101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</row>
    <row r="26" spans="1:22" ht="18">
      <c r="A26" s="2">
        <v>19</v>
      </c>
      <c r="B26" s="2" t="s">
        <v>35</v>
      </c>
      <c r="C26" s="103">
        <v>1063861.46</v>
      </c>
      <c r="D26" s="103">
        <v>1224061.2</v>
      </c>
      <c r="E26" s="100">
        <v>267680.3</v>
      </c>
      <c r="F26" s="103">
        <v>304189.8</v>
      </c>
      <c r="G26" s="103">
        <v>1432683.98</v>
      </c>
      <c r="H26" s="103">
        <v>1518579.1</v>
      </c>
      <c r="I26" s="103">
        <v>1768762</v>
      </c>
      <c r="J26" s="100">
        <v>392580.9</v>
      </c>
      <c r="K26" s="103">
        <v>439818</v>
      </c>
      <c r="L26" s="103">
        <v>2018701.09</v>
      </c>
      <c r="M26" s="103">
        <v>384398.2</v>
      </c>
      <c r="N26" s="103">
        <v>437264</v>
      </c>
      <c r="O26" s="100">
        <v>104090.3</v>
      </c>
      <c r="P26" s="103">
        <v>111089.31</v>
      </c>
      <c r="Q26" s="103">
        <v>576436.26</v>
      </c>
      <c r="R26" s="103">
        <v>3684504.88</v>
      </c>
      <c r="S26" s="103">
        <v>4256420.94</v>
      </c>
      <c r="T26" s="100">
        <v>957027.3</v>
      </c>
      <c r="U26" s="103">
        <v>1071954.49</v>
      </c>
      <c r="V26" s="103">
        <v>4999333.48</v>
      </c>
    </row>
    <row r="27" spans="1:22" ht="18">
      <c r="A27" s="2">
        <v>20</v>
      </c>
      <c r="B27" s="2" t="s">
        <v>36</v>
      </c>
      <c r="C27" s="100">
        <v>1695471.8125960059</v>
      </c>
      <c r="D27" s="100">
        <v>1711288.5295200006</v>
      </c>
      <c r="E27" s="100">
        <v>366517</v>
      </c>
      <c r="F27" s="100">
        <v>455458.1</v>
      </c>
      <c r="G27" s="100">
        <v>2098573.579109063</v>
      </c>
      <c r="H27" s="100">
        <v>2892156.989247312</v>
      </c>
      <c r="I27" s="100">
        <v>2997683.17954</v>
      </c>
      <c r="J27" s="100">
        <v>695187</v>
      </c>
      <c r="K27" s="100">
        <v>827515.83131</v>
      </c>
      <c r="L27" s="100">
        <v>3779904.7619047617</v>
      </c>
      <c r="M27" s="100">
        <v>955739.55453149</v>
      </c>
      <c r="N27" s="100">
        <v>910530.54776</v>
      </c>
      <c r="O27" s="100">
        <v>220472</v>
      </c>
      <c r="P27" s="100">
        <v>251989.96701</v>
      </c>
      <c r="Q27" s="100">
        <v>1437636.0983102918</v>
      </c>
      <c r="R27" s="100">
        <v>6749535.29</v>
      </c>
      <c r="S27" s="100">
        <v>7574609.86</v>
      </c>
      <c r="T27" s="100">
        <v>1778717</v>
      </c>
      <c r="U27" s="100">
        <v>2032649.65</v>
      </c>
      <c r="V27" s="100">
        <v>9388528.498694917</v>
      </c>
    </row>
    <row r="28" spans="1:22" ht="18">
      <c r="A28" s="2">
        <v>21</v>
      </c>
      <c r="B28" s="2" t="s">
        <v>37</v>
      </c>
      <c r="C28" s="100">
        <v>1774423.2982080004</v>
      </c>
      <c r="D28" s="100">
        <v>2277337.28796</v>
      </c>
      <c r="E28" s="100">
        <v>508216.7</v>
      </c>
      <c r="F28" s="100">
        <v>509030</v>
      </c>
      <c r="G28" s="100">
        <v>2472051.3466438944</v>
      </c>
      <c r="H28" s="100">
        <v>3640497.5523840003</v>
      </c>
      <c r="I28" s="100">
        <v>4421183.401152</v>
      </c>
      <c r="J28" s="100">
        <v>927939.5</v>
      </c>
      <c r="K28" s="100">
        <v>844649.5</v>
      </c>
      <c r="L28" s="100">
        <v>4581016.210347494</v>
      </c>
      <c r="M28" s="100">
        <v>671269.1998320001</v>
      </c>
      <c r="N28" s="100">
        <v>971428.4496</v>
      </c>
      <c r="O28" s="100">
        <v>201844.3</v>
      </c>
      <c r="P28" s="100">
        <v>210575.8</v>
      </c>
      <c r="Q28" s="100">
        <v>1581396.24697488</v>
      </c>
      <c r="R28" s="100">
        <v>7775115.876</v>
      </c>
      <c r="S28" s="100">
        <v>9115460.3232</v>
      </c>
      <c r="T28" s="100">
        <v>1869116.6</v>
      </c>
      <c r="U28" s="100">
        <v>1966199.8</v>
      </c>
      <c r="V28" s="100">
        <v>10121149.2</v>
      </c>
    </row>
    <row r="29" spans="1:22" ht="18">
      <c r="A29" s="2">
        <v>22</v>
      </c>
      <c r="B29" s="2" t="s">
        <v>38</v>
      </c>
      <c r="C29" s="103">
        <v>177935</v>
      </c>
      <c r="D29" s="103">
        <v>203276</v>
      </c>
      <c r="E29" s="100">
        <f>87465.91*161*3/1000</f>
        <v>42246.034530000004</v>
      </c>
      <c r="F29" s="103">
        <v>46283.6</v>
      </c>
      <c r="G29" s="103">
        <v>214631</v>
      </c>
      <c r="H29" s="103">
        <v>263660</v>
      </c>
      <c r="I29" s="103">
        <v>299871</v>
      </c>
      <c r="J29" s="100">
        <f>478*51480.98*3/1000</f>
        <v>73823.72532000001</v>
      </c>
      <c r="K29" s="103">
        <v>84262.1</v>
      </c>
      <c r="L29" s="103">
        <v>314824</v>
      </c>
      <c r="M29" s="103">
        <v>61207</v>
      </c>
      <c r="N29" s="103">
        <v>94405</v>
      </c>
      <c r="O29" s="100">
        <f>365*26619.54*3/1000</f>
        <v>29148.396299999997</v>
      </c>
      <c r="P29" s="103">
        <v>32706.6</v>
      </c>
      <c r="Q29" s="103">
        <v>111559</v>
      </c>
      <c r="R29" s="103">
        <v>418968.06</v>
      </c>
      <c r="S29" s="103">
        <v>1076520.39</v>
      </c>
      <c r="T29" s="100">
        <f>46362.93*3*1495/1000</f>
        <v>207937.74105</v>
      </c>
      <c r="U29" s="103">
        <v>238844.5</v>
      </c>
      <c r="V29" s="103">
        <v>1037636.3</v>
      </c>
    </row>
    <row r="30" spans="1:22" ht="18">
      <c r="A30" s="2">
        <v>23</v>
      </c>
      <c r="B30" s="2" t="s">
        <v>39</v>
      </c>
      <c r="C30" s="103">
        <v>1266299</v>
      </c>
      <c r="D30" s="103">
        <v>1332111</v>
      </c>
      <c r="E30" s="103">
        <v>326666</v>
      </c>
      <c r="F30" s="103">
        <v>336776</v>
      </c>
      <c r="G30" s="103">
        <v>1448134</v>
      </c>
      <c r="H30" s="103">
        <v>2083003</v>
      </c>
      <c r="I30" s="103">
        <v>2126301</v>
      </c>
      <c r="J30" s="103">
        <v>530898</v>
      </c>
      <c r="K30" s="103">
        <v>537997</v>
      </c>
      <c r="L30" s="103">
        <v>2313386</v>
      </c>
      <c r="M30" s="103">
        <v>445994</v>
      </c>
      <c r="N30" s="103">
        <v>461313</v>
      </c>
      <c r="O30" s="103">
        <v>110333</v>
      </c>
      <c r="P30" s="103">
        <v>120939</v>
      </c>
      <c r="Q30" s="103">
        <v>520038</v>
      </c>
      <c r="R30" s="103">
        <v>4937848</v>
      </c>
      <c r="S30" s="103">
        <v>5190404</v>
      </c>
      <c r="T30" s="103">
        <v>1284799</v>
      </c>
      <c r="U30" s="103">
        <v>1316379</v>
      </c>
      <c r="V30" s="103">
        <v>5660429</v>
      </c>
    </row>
    <row r="31" spans="1:22" ht="18">
      <c r="A31" s="2">
        <v>24</v>
      </c>
      <c r="B31" s="2" t="s">
        <v>40</v>
      </c>
      <c r="C31" s="103">
        <v>1339534.6</v>
      </c>
      <c r="D31" s="103">
        <v>1473747.9</v>
      </c>
      <c r="E31" s="100">
        <v>277343.1</v>
      </c>
      <c r="F31" s="103">
        <v>387919.7</v>
      </c>
      <c r="G31" s="103">
        <v>1645379.9</v>
      </c>
      <c r="H31" s="103">
        <v>1724177.3</v>
      </c>
      <c r="I31" s="103">
        <v>2011369.6</v>
      </c>
      <c r="J31" s="100">
        <v>347412.6</v>
      </c>
      <c r="K31" s="103">
        <v>537531.6</v>
      </c>
      <c r="L31" s="103">
        <v>2091877.8</v>
      </c>
      <c r="M31" s="103">
        <v>540507.2</v>
      </c>
      <c r="N31" s="103">
        <v>481633.6</v>
      </c>
      <c r="O31" s="100">
        <v>92118.9</v>
      </c>
      <c r="P31" s="103">
        <v>144406.3</v>
      </c>
      <c r="Q31" s="103">
        <v>655048.1</v>
      </c>
      <c r="R31" s="103">
        <v>4437093.5</v>
      </c>
      <c r="S31" s="103">
        <v>5240797.4</v>
      </c>
      <c r="T31" s="100">
        <v>900431.1</v>
      </c>
      <c r="U31" s="103">
        <v>1382735.9</v>
      </c>
      <c r="V31" s="103">
        <v>533617.6</v>
      </c>
    </row>
    <row r="32" spans="1:22" ht="18">
      <c r="A32" s="2">
        <v>25</v>
      </c>
      <c r="B32" s="2" t="s">
        <v>41</v>
      </c>
      <c r="C32" s="105">
        <v>2213440</v>
      </c>
      <c r="D32" s="105">
        <v>2741560</v>
      </c>
      <c r="E32" s="105">
        <f>489941.3*1.302</f>
        <v>637903.5726</v>
      </c>
      <c r="F32" s="105">
        <v>726771.6594180001</v>
      </c>
      <c r="G32" s="105">
        <v>3128570</v>
      </c>
      <c r="H32" s="100">
        <v>3178370</v>
      </c>
      <c r="I32" s="100">
        <v>3801190</v>
      </c>
      <c r="J32" s="100">
        <f>713251.2*1.302</f>
        <v>928653.0623999999</v>
      </c>
      <c r="K32" s="100">
        <v>1005906.5866080001</v>
      </c>
      <c r="L32" s="100">
        <v>4566830</v>
      </c>
      <c r="M32" s="100">
        <v>796060</v>
      </c>
      <c r="N32" s="100">
        <v>917870</v>
      </c>
      <c r="O32" s="100">
        <f>190645.1*1.302</f>
        <v>248219.92020000002</v>
      </c>
      <c r="P32" s="100">
        <v>280332.0576</v>
      </c>
      <c r="Q32" s="100">
        <v>1026910</v>
      </c>
      <c r="R32" s="106">
        <v>7756372.7486911</v>
      </c>
      <c r="S32" s="106">
        <v>9033758.370925749</v>
      </c>
      <c r="T32" s="106">
        <f>1725221.4*1.302</f>
        <v>2246238.2628</v>
      </c>
      <c r="U32" s="106">
        <v>2367031.3128</v>
      </c>
      <c r="V32" s="106">
        <v>10393504.377470942</v>
      </c>
    </row>
    <row r="33" spans="1:22" ht="18">
      <c r="A33" s="2">
        <v>26</v>
      </c>
      <c r="B33" s="2" t="s">
        <v>42</v>
      </c>
      <c r="C33" s="100">
        <v>1692100.83</v>
      </c>
      <c r="D33" s="100">
        <v>1963038.5</v>
      </c>
      <c r="E33" s="100">
        <v>393100.17</v>
      </c>
      <c r="F33" s="100">
        <v>462756.2</v>
      </c>
      <c r="G33" s="100">
        <v>2072485.71</v>
      </c>
      <c r="H33" s="100">
        <v>2567642.2</v>
      </c>
      <c r="I33" s="100">
        <v>2925928.67</v>
      </c>
      <c r="J33" s="100">
        <v>597632.83</v>
      </c>
      <c r="K33" s="100">
        <v>712040.13</v>
      </c>
      <c r="L33" s="100">
        <v>3200323.58</v>
      </c>
      <c r="M33" s="100">
        <v>727512.08</v>
      </c>
      <c r="N33" s="100">
        <v>788853.88</v>
      </c>
      <c r="O33" s="100">
        <v>169776.73</v>
      </c>
      <c r="P33" s="100">
        <v>197064.82</v>
      </c>
      <c r="Q33" s="100">
        <v>1123928.57</v>
      </c>
      <c r="R33" s="100">
        <v>6645534.87</v>
      </c>
      <c r="S33" s="100">
        <v>7475783.42</v>
      </c>
      <c r="T33" s="100">
        <v>1528457.46</v>
      </c>
      <c r="U33" s="100">
        <v>1792709.68</v>
      </c>
      <c r="V33" s="100">
        <v>8058837.79</v>
      </c>
    </row>
    <row r="34" spans="1:22" ht="18">
      <c r="A34" s="2">
        <v>27</v>
      </c>
      <c r="B34" s="2" t="s">
        <v>43</v>
      </c>
      <c r="C34" s="100">
        <v>632222.4</v>
      </c>
      <c r="D34" s="105">
        <f>730154.6</f>
        <v>730154.6</v>
      </c>
      <c r="E34" s="100">
        <v>156145.2</v>
      </c>
      <c r="F34" s="107">
        <v>170443.8</v>
      </c>
      <c r="G34" s="100">
        <v>726597.5</v>
      </c>
      <c r="H34" s="100">
        <v>930786.1</v>
      </c>
      <c r="I34" s="105">
        <f>1045248.6+14301.3</f>
        <v>1059549.9</v>
      </c>
      <c r="J34" s="100">
        <v>230501</v>
      </c>
      <c r="K34" s="107">
        <v>269249.9</v>
      </c>
      <c r="L34" s="100">
        <v>1086787.92</v>
      </c>
      <c r="M34" s="100">
        <v>178491.1</v>
      </c>
      <c r="N34" s="105">
        <v>202122.2</v>
      </c>
      <c r="O34" s="100">
        <v>46110.1</v>
      </c>
      <c r="P34" s="107">
        <v>52332.8</v>
      </c>
      <c r="Q34" s="100">
        <v>228171.82</v>
      </c>
      <c r="R34" s="100">
        <v>2216561.9</v>
      </c>
      <c r="S34" s="100">
        <v>2556430.5</v>
      </c>
      <c r="T34" s="100">
        <v>563326.3</v>
      </c>
      <c r="U34" s="100">
        <v>648425.7</v>
      </c>
      <c r="V34" s="100">
        <v>2696430.6</v>
      </c>
    </row>
    <row r="35" spans="1:22" ht="18">
      <c r="A35" s="2">
        <v>28</v>
      </c>
      <c r="B35" s="2" t="s">
        <v>44</v>
      </c>
      <c r="C35" s="100">
        <v>785079</v>
      </c>
      <c r="D35" s="100">
        <v>814450</v>
      </c>
      <c r="E35" s="100">
        <v>141490.68</v>
      </c>
      <c r="F35" s="100">
        <v>196491.6</v>
      </c>
      <c r="G35" s="100">
        <v>1013723</v>
      </c>
      <c r="H35" s="100">
        <v>1218225</v>
      </c>
      <c r="I35" s="100">
        <v>1400976</v>
      </c>
      <c r="J35" s="100">
        <v>237606.78</v>
      </c>
      <c r="K35" s="100">
        <v>277696.9</v>
      </c>
      <c r="L35" s="100">
        <v>1770070</v>
      </c>
      <c r="M35" s="100">
        <v>257897</v>
      </c>
      <c r="N35" s="100">
        <v>384224</v>
      </c>
      <c r="O35" s="100">
        <v>69383.69</v>
      </c>
      <c r="P35" s="100">
        <v>84236.7</v>
      </c>
      <c r="Q35" s="100">
        <v>481589</v>
      </c>
      <c r="R35" s="100">
        <v>2888591</v>
      </c>
      <c r="S35" s="100">
        <v>3233076</v>
      </c>
      <c r="T35" s="100">
        <v>562409.79</v>
      </c>
      <c r="U35" s="100">
        <v>668162.8</v>
      </c>
      <c r="V35" s="100">
        <v>3933646</v>
      </c>
    </row>
    <row r="36" spans="1:22" ht="18">
      <c r="A36" s="2">
        <v>29</v>
      </c>
      <c r="B36" s="2" t="s">
        <v>45</v>
      </c>
      <c r="C36" s="100">
        <v>8975715.4</v>
      </c>
      <c r="D36" s="100">
        <v>10034723.5</v>
      </c>
      <c r="E36" s="103"/>
      <c r="F36" s="100">
        <v>2489106.2</v>
      </c>
      <c r="G36" s="100">
        <v>14198602</v>
      </c>
      <c r="H36" s="100">
        <v>8972384.5</v>
      </c>
      <c r="I36" s="100">
        <v>10031205.8</v>
      </c>
      <c r="J36" s="103"/>
      <c r="K36" s="100">
        <v>2997179</v>
      </c>
      <c r="L36" s="100">
        <v>11184761.9</v>
      </c>
      <c r="M36" s="100">
        <v>1913904.6</v>
      </c>
      <c r="N36" s="100">
        <v>2139677.4</v>
      </c>
      <c r="O36" s="103"/>
      <c r="P36" s="100">
        <v>676371</v>
      </c>
      <c r="Q36" s="100">
        <v>2480783.4</v>
      </c>
      <c r="R36" s="100">
        <v>27532544</v>
      </c>
      <c r="S36" s="100">
        <v>28738073</v>
      </c>
      <c r="T36" s="103"/>
      <c r="U36" s="100">
        <v>7678362.6</v>
      </c>
      <c r="V36" s="100">
        <v>34485687</v>
      </c>
    </row>
    <row r="37" spans="1:22" ht="18">
      <c r="A37" s="2"/>
      <c r="B37" s="32" t="s">
        <v>102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</row>
    <row r="38" spans="1:22" ht="18">
      <c r="A38" s="2" t="s">
        <v>104</v>
      </c>
      <c r="B38" s="2" t="s">
        <v>46</v>
      </c>
      <c r="C38" s="100">
        <v>1721758</v>
      </c>
      <c r="D38" s="100">
        <v>2317740.6</v>
      </c>
      <c r="E38" s="100">
        <v>417677.7</v>
      </c>
      <c r="F38" s="100">
        <v>543269.1</v>
      </c>
      <c r="G38" s="100">
        <v>2689474.13</v>
      </c>
      <c r="H38" s="100">
        <v>2385351</v>
      </c>
      <c r="I38" s="100">
        <v>3023705.1</v>
      </c>
      <c r="J38" s="100">
        <v>606161.6</v>
      </c>
      <c r="K38" s="100">
        <v>858431.4</v>
      </c>
      <c r="L38" s="100">
        <v>3695053.21</v>
      </c>
      <c r="M38" s="100">
        <v>634105</v>
      </c>
      <c r="N38" s="100" t="s">
        <v>111</v>
      </c>
      <c r="O38" s="100">
        <v>159971.7</v>
      </c>
      <c r="P38" s="100">
        <v>212384.1</v>
      </c>
      <c r="Q38" s="100">
        <v>884260</v>
      </c>
      <c r="R38" s="100">
        <v>5469797</v>
      </c>
      <c r="S38" s="100">
        <v>6885853.9</v>
      </c>
      <c r="T38" s="100">
        <v>1375046</v>
      </c>
      <c r="U38" s="100">
        <v>1836066.8</v>
      </c>
      <c r="V38" s="100">
        <v>8174479.6</v>
      </c>
    </row>
    <row r="39" spans="1:22" ht="18">
      <c r="A39" s="2">
        <v>31</v>
      </c>
      <c r="B39" s="2" t="s">
        <v>47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</row>
    <row r="40" spans="1:22" ht="18">
      <c r="A40" s="2">
        <v>32</v>
      </c>
      <c r="B40" s="2" t="s">
        <v>48</v>
      </c>
      <c r="C40" s="100">
        <v>781850.17</v>
      </c>
      <c r="D40" s="100">
        <v>1122477.3</v>
      </c>
      <c r="E40" s="100">
        <v>169003.25</v>
      </c>
      <c r="F40" s="100">
        <v>222001.29</v>
      </c>
      <c r="G40" s="100">
        <v>1387441.2</v>
      </c>
      <c r="H40" s="100">
        <v>1323817.85</v>
      </c>
      <c r="I40" s="100">
        <v>1555083.91</v>
      </c>
      <c r="J40" s="100">
        <v>281132.53</v>
      </c>
      <c r="K40" s="100">
        <v>351314.23</v>
      </c>
      <c r="L40" s="100">
        <v>1907381.2</v>
      </c>
      <c r="M40" s="100">
        <v>506326.67</v>
      </c>
      <c r="N40" s="100">
        <v>569229.32</v>
      </c>
      <c r="O40" s="100">
        <v>86262.58</v>
      </c>
      <c r="P40" s="100">
        <v>111633.3</v>
      </c>
      <c r="Q40" s="100">
        <v>654927.97</v>
      </c>
      <c r="R40" s="100">
        <v>2680370.4</v>
      </c>
      <c r="S40" s="100">
        <v>3536525.7</v>
      </c>
      <c r="T40" s="100">
        <v>695393.38</v>
      </c>
      <c r="U40" s="100">
        <v>890356.56</v>
      </c>
      <c r="V40" s="100">
        <v>3625002.4</v>
      </c>
    </row>
    <row r="41" spans="1:22" ht="18">
      <c r="A41" s="2">
        <v>33</v>
      </c>
      <c r="B41" s="2" t="s">
        <v>49</v>
      </c>
      <c r="C41" s="103">
        <v>307791.5</v>
      </c>
      <c r="D41" s="103">
        <v>391976</v>
      </c>
      <c r="E41" s="103">
        <v>81180</v>
      </c>
      <c r="F41" s="103">
        <v>85628</v>
      </c>
      <c r="G41" s="103">
        <v>469482.8</v>
      </c>
      <c r="H41" s="103">
        <v>483143.98</v>
      </c>
      <c r="I41" s="103">
        <v>572032.8</v>
      </c>
      <c r="J41" s="103">
        <v>127429.2</v>
      </c>
      <c r="K41" s="103">
        <v>138962.8</v>
      </c>
      <c r="L41" s="103">
        <v>769651.7</v>
      </c>
      <c r="M41" s="103">
        <v>141934.4</v>
      </c>
      <c r="N41" s="103">
        <v>143716.8</v>
      </c>
      <c r="O41" s="103">
        <v>37435.2</v>
      </c>
      <c r="P41" s="103">
        <v>39118.9</v>
      </c>
      <c r="Q41" s="103">
        <v>178154.7</v>
      </c>
      <c r="R41" s="103">
        <v>1158300.88</v>
      </c>
      <c r="S41" s="103">
        <v>1389935.7</v>
      </c>
      <c r="T41" s="103">
        <v>337675</v>
      </c>
      <c r="U41" s="103">
        <v>344481</v>
      </c>
      <c r="V41" s="103">
        <v>1776586</v>
      </c>
    </row>
    <row r="42" spans="1:22" ht="18">
      <c r="A42" s="2">
        <v>34</v>
      </c>
      <c r="B42" s="2" t="s">
        <v>50</v>
      </c>
      <c r="C42" s="103">
        <v>704718.9</v>
      </c>
      <c r="D42" s="103">
        <v>782261.1</v>
      </c>
      <c r="E42" s="103">
        <v>184010</v>
      </c>
      <c r="F42" s="103">
        <v>235673</v>
      </c>
      <c r="G42" s="103">
        <v>1229503</v>
      </c>
      <c r="H42" s="103">
        <v>867614.9</v>
      </c>
      <c r="I42" s="103">
        <v>903028.9</v>
      </c>
      <c r="J42" s="103">
        <v>223312</v>
      </c>
      <c r="K42" s="103">
        <v>287802.8</v>
      </c>
      <c r="L42" s="103">
        <v>1253094.8</v>
      </c>
      <c r="M42" s="103">
        <v>261545.7</v>
      </c>
      <c r="N42" s="103">
        <v>260497.1</v>
      </c>
      <c r="O42" s="103">
        <v>63775</v>
      </c>
      <c r="P42" s="103">
        <v>81537.9</v>
      </c>
      <c r="Q42" s="103">
        <v>378798.9</v>
      </c>
      <c r="R42" s="103">
        <v>2165350</v>
      </c>
      <c r="S42" s="103">
        <v>2269857.5</v>
      </c>
      <c r="T42" s="103">
        <v>553418</v>
      </c>
      <c r="U42" s="103">
        <v>731832.2</v>
      </c>
      <c r="V42" s="103">
        <v>3415939</v>
      </c>
    </row>
    <row r="43" spans="1:22" ht="18">
      <c r="A43" s="2">
        <v>35</v>
      </c>
      <c r="B43" s="2" t="s">
        <v>51</v>
      </c>
      <c r="C43" s="103">
        <v>928528.4</v>
      </c>
      <c r="D43" s="103">
        <v>1031521.8</v>
      </c>
      <c r="E43" s="103">
        <v>184969.8</v>
      </c>
      <c r="F43" s="103">
        <v>245595.2</v>
      </c>
      <c r="G43" s="103">
        <v>1414404</v>
      </c>
      <c r="H43" s="103">
        <v>1497245.1</v>
      </c>
      <c r="I43" s="103">
        <v>1604433.6</v>
      </c>
      <c r="J43" s="103" t="s">
        <v>112</v>
      </c>
      <c r="K43" s="103">
        <v>397662.2</v>
      </c>
      <c r="L43" s="103">
        <v>2269618.1</v>
      </c>
      <c r="M43" s="103">
        <v>421496.6</v>
      </c>
      <c r="N43" s="103">
        <v>500519.5</v>
      </c>
      <c r="O43" s="103">
        <v>118323.52</v>
      </c>
      <c r="P43" s="103">
        <v>134712.7</v>
      </c>
      <c r="Q43" s="103">
        <v>739115</v>
      </c>
      <c r="R43" s="103">
        <v>3569398.2</v>
      </c>
      <c r="S43" s="103">
        <v>3849190.4</v>
      </c>
      <c r="T43" s="103">
        <v>927565.6</v>
      </c>
      <c r="U43" s="103">
        <v>998465.9</v>
      </c>
      <c r="V43" s="103">
        <v>5213544.5</v>
      </c>
    </row>
    <row r="44" spans="1:22" ht="18">
      <c r="A44" s="2">
        <v>36</v>
      </c>
      <c r="B44" s="2" t="s">
        <v>52</v>
      </c>
      <c r="C44" s="100">
        <v>2208085.92</v>
      </c>
      <c r="D44" s="100">
        <v>2537813.79</v>
      </c>
      <c r="E44" s="100">
        <v>514582.75</v>
      </c>
      <c r="F44" s="100">
        <v>566571.1</v>
      </c>
      <c r="G44" s="100">
        <v>3129202.53</v>
      </c>
      <c r="H44" s="100">
        <v>2970658.8</v>
      </c>
      <c r="I44" s="100">
        <v>3194319.93</v>
      </c>
      <c r="J44" s="100">
        <v>671213.04</v>
      </c>
      <c r="K44" s="100">
        <v>810157.6</v>
      </c>
      <c r="L44" s="100">
        <v>4165151.1923999996</v>
      </c>
      <c r="M44" s="100">
        <v>837165.75</v>
      </c>
      <c r="N44" s="100">
        <v>921213.38</v>
      </c>
      <c r="O44" s="100">
        <v>204637.37</v>
      </c>
      <c r="P44" s="100">
        <v>237042.4</v>
      </c>
      <c r="Q44" s="100">
        <v>1305559.5455999998</v>
      </c>
      <c r="R44" s="100">
        <v>7412485.42</v>
      </c>
      <c r="S44" s="100">
        <v>8361051.15</v>
      </c>
      <c r="T44" s="100">
        <v>1732796.33</v>
      </c>
      <c r="U44" s="100">
        <v>2109418.3</v>
      </c>
      <c r="V44" s="100">
        <v>9665505.478652526</v>
      </c>
    </row>
    <row r="45" spans="1:22" ht="18">
      <c r="A45" s="2"/>
      <c r="B45" s="32" t="s">
        <v>106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</row>
    <row r="46" spans="1:22" ht="18">
      <c r="A46" s="2">
        <v>37</v>
      </c>
      <c r="B46" s="2" t="s">
        <v>53</v>
      </c>
      <c r="C46" s="108">
        <v>317134</v>
      </c>
      <c r="D46" s="108">
        <v>379635</v>
      </c>
      <c r="E46" s="108"/>
      <c r="F46" s="108">
        <v>107526.4</v>
      </c>
      <c r="G46" s="108">
        <v>432033.3</v>
      </c>
      <c r="H46" s="108">
        <v>603829</v>
      </c>
      <c r="I46" s="108">
        <v>670662</v>
      </c>
      <c r="J46" s="108"/>
      <c r="K46" s="108">
        <v>170540.8</v>
      </c>
      <c r="L46" s="108">
        <v>708166.7</v>
      </c>
      <c r="M46" s="108">
        <v>169439</v>
      </c>
      <c r="N46" s="108">
        <v>172458</v>
      </c>
      <c r="O46" s="108"/>
      <c r="P46" s="108">
        <v>56719.9</v>
      </c>
      <c r="Q46" s="108">
        <v>242023.2</v>
      </c>
      <c r="R46" s="108">
        <v>1519068</v>
      </c>
      <c r="S46" s="108">
        <v>1687236</v>
      </c>
      <c r="T46" s="108"/>
      <c r="U46" s="108">
        <v>437708.5</v>
      </c>
      <c r="V46" s="108">
        <v>1715398</v>
      </c>
    </row>
    <row r="47" spans="1:22" ht="18">
      <c r="A47" s="2">
        <v>38</v>
      </c>
      <c r="B47" s="2" t="s">
        <v>54</v>
      </c>
      <c r="C47" s="108">
        <v>422020</v>
      </c>
      <c r="D47" s="108">
        <v>507420</v>
      </c>
      <c r="E47" s="100">
        <v>101806.5</v>
      </c>
      <c r="F47" s="108">
        <v>110250.1</v>
      </c>
      <c r="G47" s="108">
        <v>595020</v>
      </c>
      <c r="H47" s="108">
        <v>506490</v>
      </c>
      <c r="I47" s="108">
        <v>605840</v>
      </c>
      <c r="J47" s="100">
        <v>136926.7</v>
      </c>
      <c r="K47" s="108">
        <v>139256.2</v>
      </c>
      <c r="L47" s="108">
        <v>705860</v>
      </c>
      <c r="M47" s="108">
        <v>162920</v>
      </c>
      <c r="N47" s="108">
        <v>180380</v>
      </c>
      <c r="O47" s="100">
        <v>40251</v>
      </c>
      <c r="P47" s="108">
        <v>45706.7</v>
      </c>
      <c r="Q47" s="108">
        <v>212930</v>
      </c>
      <c r="R47" s="108">
        <v>1302636.7</v>
      </c>
      <c r="S47" s="108">
        <v>1535687.4</v>
      </c>
      <c r="T47" s="100">
        <v>344245.2</v>
      </c>
      <c r="U47" s="108">
        <v>367736</v>
      </c>
      <c r="V47" s="108">
        <v>1795350.3</v>
      </c>
    </row>
    <row r="48" spans="1:22" ht="18">
      <c r="A48" s="2">
        <v>39</v>
      </c>
      <c r="B48" s="2" t="s">
        <v>55</v>
      </c>
      <c r="C48" s="108">
        <v>6279003</v>
      </c>
      <c r="D48" s="108">
        <v>7305409</v>
      </c>
      <c r="E48" s="108">
        <v>6274605</v>
      </c>
      <c r="F48" s="108">
        <v>1492237</v>
      </c>
      <c r="G48" s="108">
        <v>9018617</v>
      </c>
      <c r="H48" s="108">
        <v>8743517</v>
      </c>
      <c r="I48" s="108">
        <v>10764566</v>
      </c>
      <c r="J48" s="108">
        <v>9119123</v>
      </c>
      <c r="K48" s="108">
        <v>2803272</v>
      </c>
      <c r="L48" s="108">
        <v>12110468</v>
      </c>
      <c r="M48" s="108">
        <v>3356278</v>
      </c>
      <c r="N48" s="108">
        <v>4121855</v>
      </c>
      <c r="O48" s="108">
        <v>3907488</v>
      </c>
      <c r="P48" s="108">
        <v>1073400</v>
      </c>
      <c r="Q48" s="108">
        <v>4671966</v>
      </c>
      <c r="R48" s="108">
        <v>26095953</v>
      </c>
      <c r="S48" s="108">
        <v>31267901</v>
      </c>
      <c r="T48" s="108">
        <v>27922669</v>
      </c>
      <c r="U48" s="108">
        <v>7931970</v>
      </c>
      <c r="V48" s="108">
        <v>35535230</v>
      </c>
    </row>
    <row r="49" spans="1:22" ht="18">
      <c r="A49" s="2">
        <v>40</v>
      </c>
      <c r="B49" s="2" t="s">
        <v>56</v>
      </c>
      <c r="C49" s="104">
        <v>1602270</v>
      </c>
      <c r="D49" s="104">
        <v>1957420</v>
      </c>
      <c r="E49" s="108">
        <v>328600</v>
      </c>
      <c r="F49" s="104">
        <v>348350</v>
      </c>
      <c r="G49" s="104">
        <v>2125600</v>
      </c>
      <c r="H49" s="100">
        <v>1596730</v>
      </c>
      <c r="I49" s="100">
        <v>1900540</v>
      </c>
      <c r="J49" s="108">
        <v>362590</v>
      </c>
      <c r="K49" s="100">
        <v>384350</v>
      </c>
      <c r="L49" s="100">
        <v>3375690</v>
      </c>
      <c r="M49" s="100">
        <v>555720</v>
      </c>
      <c r="N49" s="100">
        <v>593740</v>
      </c>
      <c r="O49" s="108">
        <v>117990</v>
      </c>
      <c r="P49" s="100">
        <v>125310</v>
      </c>
      <c r="Q49" s="100">
        <v>683160</v>
      </c>
      <c r="R49" s="100">
        <v>4794100</v>
      </c>
      <c r="S49" s="100">
        <v>5098400</v>
      </c>
      <c r="T49" s="108">
        <v>1030180</v>
      </c>
      <c r="U49" s="100">
        <v>1088900</v>
      </c>
      <c r="V49" s="100">
        <v>5965530</v>
      </c>
    </row>
    <row r="50" spans="1:22" ht="18">
      <c r="A50" s="2">
        <v>41</v>
      </c>
      <c r="B50" s="2" t="s">
        <v>57</v>
      </c>
      <c r="C50" s="108">
        <v>3007422.2</v>
      </c>
      <c r="D50" s="108">
        <v>3602509.4</v>
      </c>
      <c r="E50" s="108">
        <v>789072</v>
      </c>
      <c r="F50" s="108">
        <v>829060</v>
      </c>
      <c r="G50" s="108">
        <v>3689120</v>
      </c>
      <c r="H50" s="108">
        <v>4351072.6</v>
      </c>
      <c r="I50" s="108">
        <v>5242023.5</v>
      </c>
      <c r="J50" s="108">
        <v>1208458</v>
      </c>
      <c r="K50" s="108">
        <v>1291794.3</v>
      </c>
      <c r="L50" s="108">
        <v>5497710</v>
      </c>
      <c r="M50" s="108">
        <v>1224311</v>
      </c>
      <c r="N50" s="108">
        <v>1396898</v>
      </c>
      <c r="O50" s="108">
        <v>317428</v>
      </c>
      <c r="P50" s="108">
        <v>372975</v>
      </c>
      <c r="Q50" s="108">
        <v>1890774</v>
      </c>
      <c r="R50" s="108">
        <v>11260722</v>
      </c>
      <c r="S50" s="108">
        <v>12877234</v>
      </c>
      <c r="T50" s="108">
        <v>3002462</v>
      </c>
      <c r="U50" s="108">
        <v>3206470</v>
      </c>
      <c r="V50" s="108">
        <v>14615647</v>
      </c>
    </row>
    <row r="51" spans="1:22" ht="18">
      <c r="A51" s="2">
        <v>42</v>
      </c>
      <c r="B51" s="2" t="s">
        <v>58</v>
      </c>
      <c r="C51" s="108">
        <v>4139608.4</v>
      </c>
      <c r="D51" s="108">
        <v>4525591.5</v>
      </c>
      <c r="E51" s="108">
        <v>1021414.3</v>
      </c>
      <c r="F51" s="108">
        <v>1087992.6</v>
      </c>
      <c r="G51" s="108">
        <v>4734459.4</v>
      </c>
      <c r="H51" s="108">
        <v>6964552.3</v>
      </c>
      <c r="I51" s="108">
        <v>7530182.1</v>
      </c>
      <c r="J51" s="108">
        <v>1789528.8</v>
      </c>
      <c r="K51" s="108">
        <v>1885357.3</v>
      </c>
      <c r="L51" s="108">
        <v>8978853.7</v>
      </c>
      <c r="M51" s="108">
        <v>2053773.8</v>
      </c>
      <c r="N51" s="108">
        <v>2188997.4</v>
      </c>
      <c r="O51" s="108">
        <v>537407</v>
      </c>
      <c r="P51" s="108">
        <v>576012.3</v>
      </c>
      <c r="Q51" s="108">
        <v>2558591.2</v>
      </c>
      <c r="R51" s="108">
        <v>16336997.4</v>
      </c>
      <c r="S51" s="108">
        <v>17957213.2</v>
      </c>
      <c r="T51" s="108">
        <v>4234485.9</v>
      </c>
      <c r="U51" s="108">
        <v>4527841.4</v>
      </c>
      <c r="V51" s="108">
        <v>20180642.2</v>
      </c>
    </row>
    <row r="52" spans="1:22" ht="18">
      <c r="A52" s="2"/>
      <c r="B52" s="32" t="s">
        <v>107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</row>
    <row r="53" spans="1:22" ht="18">
      <c r="A53" s="2">
        <v>43</v>
      </c>
      <c r="B53" s="2" t="s">
        <v>59</v>
      </c>
      <c r="C53" s="103">
        <v>5898350</v>
      </c>
      <c r="D53" s="103">
        <v>6762570</v>
      </c>
      <c r="E53" s="103">
        <v>1195703.55</v>
      </c>
      <c r="F53" s="103">
        <v>1634203.48</v>
      </c>
      <c r="G53" s="103">
        <v>7379580</v>
      </c>
      <c r="H53" s="103">
        <v>8930630</v>
      </c>
      <c r="I53" s="103">
        <v>9147520</v>
      </c>
      <c r="J53" s="103">
        <v>1866210.37</v>
      </c>
      <c r="K53" s="103">
        <v>2498554.28</v>
      </c>
      <c r="L53" s="103">
        <v>10997930</v>
      </c>
      <c r="M53" s="103">
        <v>2421880</v>
      </c>
      <c r="N53" s="103">
        <v>2298230</v>
      </c>
      <c r="O53" s="103">
        <v>534598.99</v>
      </c>
      <c r="P53" s="103">
        <v>653959.19</v>
      </c>
      <c r="Q53" s="103">
        <v>3133770</v>
      </c>
      <c r="R53" s="103">
        <v>19627722</v>
      </c>
      <c r="S53" s="103">
        <v>22626703</v>
      </c>
      <c r="T53" s="103">
        <v>4511048</v>
      </c>
      <c r="U53" s="103">
        <v>5910932</v>
      </c>
      <c r="V53" s="103">
        <v>26119316</v>
      </c>
    </row>
    <row r="54" spans="1:22" ht="18">
      <c r="A54" s="2">
        <v>44</v>
      </c>
      <c r="B54" s="2" t="s">
        <v>60</v>
      </c>
      <c r="C54" s="102">
        <v>653038.6666320001</v>
      </c>
      <c r="D54" s="102">
        <v>786973.8492</v>
      </c>
      <c r="E54" s="103"/>
      <c r="F54" s="102">
        <f>(144253.6+5839.7)*1.302</f>
        <v>195421.47660000002</v>
      </c>
      <c r="G54" s="102">
        <v>838171.9785600001</v>
      </c>
      <c r="H54" s="102">
        <v>1061480.8274400001</v>
      </c>
      <c r="I54" s="102">
        <v>1186479.45108</v>
      </c>
      <c r="J54" s="103"/>
      <c r="K54" s="102">
        <f>(255166.2+1896.5)*1.302</f>
        <v>334695.6354</v>
      </c>
      <c r="L54" s="102">
        <v>1474620.008904</v>
      </c>
      <c r="M54" s="102">
        <v>311088.69792</v>
      </c>
      <c r="N54" s="102">
        <v>316695.464568</v>
      </c>
      <c r="O54" s="103"/>
      <c r="P54" s="102">
        <f>(73009.6+511.3)*1.302</f>
        <v>95724.21180000002</v>
      </c>
      <c r="Q54" s="102">
        <v>470685.49919999996</v>
      </c>
      <c r="R54" s="102">
        <v>2500356.2538240002</v>
      </c>
      <c r="S54" s="102">
        <v>2874901.9907520004</v>
      </c>
      <c r="T54" s="103"/>
      <c r="U54" s="102">
        <f>(592911.4+11373.4)*1.302</f>
        <v>786778.8096</v>
      </c>
      <c r="V54" s="102">
        <v>3415064.1624000003</v>
      </c>
    </row>
    <row r="55" spans="1:22" ht="18">
      <c r="A55" s="2">
        <v>45</v>
      </c>
      <c r="B55" s="2" t="s">
        <v>61</v>
      </c>
      <c r="C55" s="100">
        <v>805036.6</v>
      </c>
      <c r="D55" s="100">
        <v>1023641.7</v>
      </c>
      <c r="E55" s="100">
        <v>219847.74</v>
      </c>
      <c r="F55" s="100">
        <v>242974.2</v>
      </c>
      <c r="G55" s="100">
        <v>1379460</v>
      </c>
      <c r="H55" s="100">
        <v>962847.8</v>
      </c>
      <c r="I55" s="100">
        <v>1218079</v>
      </c>
      <c r="J55" s="100">
        <v>270944.07</v>
      </c>
      <c r="K55" s="100">
        <v>326652.9</v>
      </c>
      <c r="L55" s="100">
        <v>1737440</v>
      </c>
      <c r="M55" s="100">
        <v>288083</v>
      </c>
      <c r="N55" s="100">
        <v>353880.9</v>
      </c>
      <c r="O55" s="100">
        <v>85532.17</v>
      </c>
      <c r="P55" s="100">
        <v>102599.9</v>
      </c>
      <c r="Q55" s="100">
        <v>587260</v>
      </c>
      <c r="R55" s="100">
        <v>2477329.9</v>
      </c>
      <c r="S55" s="100">
        <v>3104106.7</v>
      </c>
      <c r="T55" s="100">
        <v>693247.48</v>
      </c>
      <c r="U55" s="100">
        <v>826916.1</v>
      </c>
      <c r="V55" s="100"/>
    </row>
    <row r="56" spans="1:22" ht="18">
      <c r="A56" s="2">
        <v>46</v>
      </c>
      <c r="B56" s="2" t="s">
        <v>62</v>
      </c>
      <c r="C56" s="100">
        <v>3143455.4</v>
      </c>
      <c r="D56" s="100">
        <v>4244567.8</v>
      </c>
      <c r="E56" s="103"/>
      <c r="F56" s="100">
        <f>(900911+39999.4)*1.302</f>
        <v>1225065.3408000001</v>
      </c>
      <c r="G56" s="100">
        <v>4565539.83</v>
      </c>
      <c r="H56" s="100">
        <v>6653247.8</v>
      </c>
      <c r="I56" s="100">
        <v>7623969.4</v>
      </c>
      <c r="J56" s="103"/>
      <c r="K56" s="100">
        <f>(1583324.4+9758.9)*1.302</f>
        <v>2074194.4566</v>
      </c>
      <c r="L56" s="100">
        <v>9007365.43</v>
      </c>
      <c r="M56" s="100">
        <v>1523278</v>
      </c>
      <c r="N56" s="100">
        <v>1723337.89</v>
      </c>
      <c r="O56" s="103"/>
      <c r="P56" s="100">
        <f>(354898.8+2114)*1.302</f>
        <v>464830.6656</v>
      </c>
      <c r="Q56" s="100">
        <v>2311598.38</v>
      </c>
      <c r="R56" s="100">
        <f>10974780.6*1.342</f>
        <v>14728155.565200001</v>
      </c>
      <c r="S56" s="100">
        <f>13097223.5*1.302</f>
        <v>17052584.997</v>
      </c>
      <c r="T56" s="103"/>
      <c r="U56" s="100">
        <f>(3501681.5+63974.4)*1.302</f>
        <v>4642483.9818</v>
      </c>
      <c r="V56" s="100">
        <v>18583101.24</v>
      </c>
    </row>
    <row r="57" spans="1:22" ht="18">
      <c r="A57" s="2">
        <v>47</v>
      </c>
      <c r="B57" s="2" t="s">
        <v>63</v>
      </c>
      <c r="C57" s="109">
        <v>1829388.6</v>
      </c>
      <c r="D57" s="109">
        <v>2003652.450076805</v>
      </c>
      <c r="E57" s="100">
        <v>481125.3</v>
      </c>
      <c r="F57" s="109">
        <v>476405.8</v>
      </c>
      <c r="G57" s="109">
        <v>2517585.9</v>
      </c>
      <c r="H57" s="109">
        <v>2340244.5</v>
      </c>
      <c r="I57" s="109">
        <v>2473622.565284178</v>
      </c>
      <c r="J57" s="100">
        <v>620055</v>
      </c>
      <c r="K57" s="109">
        <v>661934.5</v>
      </c>
      <c r="L57" s="109">
        <v>3564256.2</v>
      </c>
      <c r="M57" s="109">
        <v>670528</v>
      </c>
      <c r="N57" s="109">
        <v>780362.2196620583</v>
      </c>
      <c r="O57" s="100">
        <v>176147.8</v>
      </c>
      <c r="P57" s="109">
        <v>188155.5</v>
      </c>
      <c r="Q57" s="109">
        <v>1190959.46</v>
      </c>
      <c r="R57" s="109">
        <v>5815905.7</v>
      </c>
      <c r="S57" s="109">
        <v>6174516.129032258</v>
      </c>
      <c r="T57" s="100">
        <v>1537423</v>
      </c>
      <c r="U57" s="109">
        <v>1544486.5</v>
      </c>
      <c r="V57" s="109">
        <v>8356176.4399999995</v>
      </c>
    </row>
    <row r="58" spans="1:22" ht="18">
      <c r="A58" s="2">
        <v>48</v>
      </c>
      <c r="B58" s="2" t="s">
        <v>64</v>
      </c>
      <c r="C58" s="110">
        <v>1196689.2</v>
      </c>
      <c r="D58" s="110">
        <v>1461110.2</v>
      </c>
      <c r="E58" s="100">
        <v>334603.14</v>
      </c>
      <c r="F58" s="110">
        <v>392981.1</v>
      </c>
      <c r="G58" s="110">
        <v>1728292</v>
      </c>
      <c r="H58" s="110">
        <v>1809333.2</v>
      </c>
      <c r="I58" s="110">
        <v>2013835.77</v>
      </c>
      <c r="J58" s="100">
        <v>471663.57</v>
      </c>
      <c r="K58" s="110">
        <v>549177.5</v>
      </c>
      <c r="L58" s="110">
        <v>2308623</v>
      </c>
      <c r="M58" s="110">
        <v>451834.1</v>
      </c>
      <c r="N58" s="110">
        <v>506212.9</v>
      </c>
      <c r="O58" s="100">
        <v>122167.2</v>
      </c>
      <c r="P58" s="110">
        <v>164868.5</v>
      </c>
      <c r="Q58" s="110">
        <v>801129.6</v>
      </c>
      <c r="R58" s="110">
        <v>3986656.5</v>
      </c>
      <c r="S58" s="110">
        <v>4653400.61</v>
      </c>
      <c r="T58" s="100">
        <v>1087956.9</v>
      </c>
      <c r="U58" s="110">
        <v>1326944.4</v>
      </c>
      <c r="V58" s="110">
        <v>6157098.92297</v>
      </c>
    </row>
    <row r="59" spans="1:22" ht="18">
      <c r="A59" s="2">
        <v>49</v>
      </c>
      <c r="B59" s="2" t="s">
        <v>65</v>
      </c>
      <c r="C59" s="103">
        <v>4119646.7</v>
      </c>
      <c r="D59" s="103">
        <v>5077787.5</v>
      </c>
      <c r="E59" s="103">
        <v>774874.9</v>
      </c>
      <c r="F59" s="103">
        <v>854411.9</v>
      </c>
      <c r="G59" s="103">
        <v>5805297.9</v>
      </c>
      <c r="H59" s="103">
        <v>5131544.2</v>
      </c>
      <c r="I59" s="103">
        <v>5945714.2</v>
      </c>
      <c r="J59" s="103">
        <v>936248.2</v>
      </c>
      <c r="K59" s="103">
        <v>1123300</v>
      </c>
      <c r="L59" s="103">
        <v>7418118.2</v>
      </c>
      <c r="M59" s="103">
        <v>1191217</v>
      </c>
      <c r="N59" s="103">
        <v>1224684.7</v>
      </c>
      <c r="O59" s="103">
        <v>191944.9</v>
      </c>
      <c r="P59" s="103">
        <v>217477.7</v>
      </c>
      <c r="Q59" s="103">
        <v>2078861.6</v>
      </c>
      <c r="R59" s="103">
        <v>12576984.6</v>
      </c>
      <c r="S59" s="103">
        <v>1412814.3</v>
      </c>
      <c r="T59" s="103">
        <v>2264948.4</v>
      </c>
      <c r="U59" s="103">
        <v>2730696.6</v>
      </c>
      <c r="V59" s="103">
        <v>16714050</v>
      </c>
    </row>
    <row r="60" spans="1:22" ht="18">
      <c r="A60" s="2">
        <v>50</v>
      </c>
      <c r="B60" s="2" t="s">
        <v>66</v>
      </c>
      <c r="C60" s="103">
        <v>1555890</v>
      </c>
      <c r="D60" s="103">
        <v>1935886</v>
      </c>
      <c r="E60" s="103">
        <v>395184</v>
      </c>
      <c r="F60" s="103">
        <v>500746</v>
      </c>
      <c r="G60" s="103">
        <v>2237589</v>
      </c>
      <c r="H60" s="103">
        <v>2504619</v>
      </c>
      <c r="I60" s="103">
        <v>3066807</v>
      </c>
      <c r="J60" s="103">
        <v>645982</v>
      </c>
      <c r="K60" s="103">
        <v>812574</v>
      </c>
      <c r="L60" s="103">
        <v>3449710</v>
      </c>
      <c r="M60" s="103">
        <v>647505</v>
      </c>
      <c r="N60" s="103">
        <v>706732</v>
      </c>
      <c r="O60" s="103">
        <v>165456</v>
      </c>
      <c r="P60" s="103">
        <v>202069</v>
      </c>
      <c r="Q60" s="103">
        <v>926953</v>
      </c>
      <c r="R60" s="103">
        <v>5642543</v>
      </c>
      <c r="S60" s="103">
        <v>7028150</v>
      </c>
      <c r="T60" s="103">
        <v>1501334</v>
      </c>
      <c r="U60" s="103">
        <v>1856200</v>
      </c>
      <c r="V60" s="103">
        <v>7968990</v>
      </c>
    </row>
    <row r="61" spans="1:22" ht="18">
      <c r="A61" s="2">
        <v>51</v>
      </c>
      <c r="B61" s="2" t="s">
        <v>67</v>
      </c>
      <c r="C61" s="100">
        <v>2978572.8</v>
      </c>
      <c r="D61" s="100">
        <v>3669503</v>
      </c>
      <c r="E61" s="100">
        <v>810271.5</v>
      </c>
      <c r="F61" s="100">
        <v>1033702</v>
      </c>
      <c r="G61" s="100">
        <v>4526565.5</v>
      </c>
      <c r="H61" s="100">
        <v>4548096</v>
      </c>
      <c r="I61" s="100">
        <v>5083169.9</v>
      </c>
      <c r="J61" s="100">
        <v>1259366.3</v>
      </c>
      <c r="K61" s="100">
        <v>1494197.1</v>
      </c>
      <c r="L61" s="100">
        <v>5547342.6</v>
      </c>
      <c r="M61" s="100">
        <v>1311583.2</v>
      </c>
      <c r="N61" s="100">
        <v>1343267.2</v>
      </c>
      <c r="O61" s="100">
        <v>327491</v>
      </c>
      <c r="P61" s="100">
        <v>406870.7</v>
      </c>
      <c r="Q61" s="100">
        <v>1693615.9</v>
      </c>
      <c r="R61" s="100">
        <v>9978327.8</v>
      </c>
      <c r="S61" s="100">
        <v>12476691.7</v>
      </c>
      <c r="T61" s="100">
        <v>2943037.8</v>
      </c>
      <c r="U61" s="100">
        <v>3733118.1</v>
      </c>
      <c r="V61" s="100">
        <v>13442880</v>
      </c>
    </row>
    <row r="62" spans="1:22" ht="18">
      <c r="A62" s="2">
        <v>52</v>
      </c>
      <c r="B62" s="2" t="s">
        <v>68</v>
      </c>
      <c r="C62" s="100">
        <v>2487015.28152</v>
      </c>
      <c r="D62" s="100">
        <v>3042165.788928</v>
      </c>
      <c r="E62" s="100">
        <v>645569.09</v>
      </c>
      <c r="F62" s="100">
        <v>688768.68</v>
      </c>
      <c r="G62" s="100">
        <v>3954671.9097984</v>
      </c>
      <c r="H62" s="100">
        <v>3779233.25472</v>
      </c>
      <c r="I62" s="100">
        <v>4175454.1288320003</v>
      </c>
      <c r="J62" s="100">
        <v>1008383.63</v>
      </c>
      <c r="K62" s="100">
        <v>1061944.53</v>
      </c>
      <c r="L62" s="100">
        <v>5219305.23902256</v>
      </c>
      <c r="M62" s="100">
        <v>1262892.685824</v>
      </c>
      <c r="N62" s="100">
        <v>1297922.990112</v>
      </c>
      <c r="O62" s="103"/>
      <c r="P62" s="100">
        <v>356190.74</v>
      </c>
      <c r="Q62" s="100">
        <v>1622449.87234344</v>
      </c>
      <c r="R62" s="100">
        <v>9532887.6</v>
      </c>
      <c r="S62" s="100">
        <v>10796355.98</v>
      </c>
      <c r="T62" s="103"/>
      <c r="U62" s="100">
        <v>2703201.72</v>
      </c>
      <c r="V62" s="100">
        <v>13173158.5</v>
      </c>
    </row>
    <row r="63" spans="1:22" ht="18">
      <c r="A63" s="2">
        <v>53</v>
      </c>
      <c r="B63" s="2" t="s">
        <v>69</v>
      </c>
      <c r="C63" s="100">
        <v>1158162.4</v>
      </c>
      <c r="D63" s="100">
        <v>1401641.6</v>
      </c>
      <c r="E63" s="100">
        <v>271110.52</v>
      </c>
      <c r="F63" s="100">
        <v>349814.5</v>
      </c>
      <c r="G63" s="100">
        <v>1597598</v>
      </c>
      <c r="H63" s="100">
        <v>1774650.3</v>
      </c>
      <c r="I63" s="100">
        <v>2128334.1</v>
      </c>
      <c r="J63" s="100">
        <v>464422.4</v>
      </c>
      <c r="K63" s="100">
        <v>570415.8</v>
      </c>
      <c r="L63" s="100">
        <v>2894045.6</v>
      </c>
      <c r="M63" s="100">
        <v>458382.2</v>
      </c>
      <c r="N63" s="100">
        <v>514939.6</v>
      </c>
      <c r="O63" s="100">
        <v>123926.56</v>
      </c>
      <c r="P63" s="100">
        <v>149646.4</v>
      </c>
      <c r="Q63" s="100">
        <v>843872.13</v>
      </c>
      <c r="R63" s="100">
        <v>4162268.9</v>
      </c>
      <c r="S63" s="100">
        <v>4857316.1</v>
      </c>
      <c r="T63" s="100">
        <v>1068769.04</v>
      </c>
      <c r="U63" s="100">
        <v>1367260.5</v>
      </c>
      <c r="V63" s="100">
        <v>6146062.1</v>
      </c>
    </row>
    <row r="64" spans="1:22" ht="18">
      <c r="A64" s="2">
        <v>54</v>
      </c>
      <c r="B64" s="2" t="s">
        <v>70</v>
      </c>
      <c r="C64" s="100">
        <f>4595253/1.302</f>
        <v>3529380.184331797</v>
      </c>
      <c r="D64" s="100">
        <f>4945388/1.302</f>
        <v>3798301.075268817</v>
      </c>
      <c r="E64" s="100">
        <v>818756.3</v>
      </c>
      <c r="F64" s="100">
        <v>856371.53</v>
      </c>
      <c r="G64" s="100">
        <f>5488898.2/1.302</f>
        <v>4215743.625192013</v>
      </c>
      <c r="H64" s="100">
        <f>5434265/1.302</f>
        <v>4173782.6420890936</v>
      </c>
      <c r="I64" s="100">
        <f>6071381/1.302</f>
        <v>4663119.047619048</v>
      </c>
      <c r="J64" s="100">
        <v>951501.23</v>
      </c>
      <c r="K64" s="100">
        <v>1151627.18</v>
      </c>
      <c r="L64" s="100">
        <f>7234233.2/1.302</f>
        <v>5556246.697388633</v>
      </c>
      <c r="M64" s="100">
        <f>1467890/1.302</f>
        <v>1127411.6743471583</v>
      </c>
      <c r="N64" s="100">
        <f>1600445/1.302</f>
        <v>1229220.430107527</v>
      </c>
      <c r="O64" s="100">
        <v>263677.15</v>
      </c>
      <c r="P64" s="100">
        <v>316375.39</v>
      </c>
      <c r="Q64" s="100">
        <f>1973892/1.302</f>
        <v>1516046.0829493087</v>
      </c>
      <c r="R64" s="100">
        <f>14587315.6/1.302</f>
        <v>11203775.422427034</v>
      </c>
      <c r="S64" s="100">
        <f>16687889/1.302</f>
        <v>12817119.047619047</v>
      </c>
      <c r="T64" s="100">
        <v>2655282.42</v>
      </c>
      <c r="U64" s="100">
        <v>3021023.73</v>
      </c>
      <c r="V64" s="100">
        <v>16751977.54</v>
      </c>
    </row>
    <row r="65" spans="1:22" ht="18">
      <c r="A65" s="2">
        <v>55</v>
      </c>
      <c r="B65" s="2" t="s">
        <v>71</v>
      </c>
      <c r="C65" s="103"/>
      <c r="D65" s="100">
        <v>2460006.8</v>
      </c>
      <c r="E65" s="103"/>
      <c r="F65" s="100">
        <v>634191.1</v>
      </c>
      <c r="G65" s="100">
        <v>3078543.636</v>
      </c>
      <c r="H65" s="103"/>
      <c r="I65" s="100">
        <v>3295548.4</v>
      </c>
      <c r="J65" s="103"/>
      <c r="K65" s="100">
        <v>848477.7</v>
      </c>
      <c r="L65" s="100">
        <v>3915402.624</v>
      </c>
      <c r="M65" s="103"/>
      <c r="N65" s="100">
        <v>897716.8</v>
      </c>
      <c r="O65" s="103"/>
      <c r="P65" s="100">
        <v>239855.4</v>
      </c>
      <c r="Q65" s="100">
        <v>1185632.532</v>
      </c>
      <c r="R65" s="103"/>
      <c r="S65" s="100">
        <v>8487537.7</v>
      </c>
      <c r="T65" s="103"/>
      <c r="U65" s="100">
        <v>2201395.2</v>
      </c>
      <c r="V65" s="100">
        <v>10120232.949308757</v>
      </c>
    </row>
    <row r="66" spans="1:22" ht="18">
      <c r="A66" s="2">
        <v>56</v>
      </c>
      <c r="B66" s="2" t="s">
        <v>72</v>
      </c>
      <c r="C66" s="103">
        <v>1546077.83</v>
      </c>
      <c r="D66" s="103">
        <v>1672157.89</v>
      </c>
      <c r="E66" s="103">
        <v>312783.28</v>
      </c>
      <c r="F66" s="103">
        <v>321448.2</v>
      </c>
      <c r="G66" s="103">
        <v>2237820.37</v>
      </c>
      <c r="H66" s="103">
        <v>2718087.26</v>
      </c>
      <c r="I66" s="103">
        <v>3158471.87</v>
      </c>
      <c r="J66" s="103">
        <v>552278.69</v>
      </c>
      <c r="K66" s="103">
        <v>616271.3</v>
      </c>
      <c r="L66" s="103">
        <v>3749084.53</v>
      </c>
      <c r="M66" s="103">
        <v>626875.62</v>
      </c>
      <c r="N66" s="103">
        <v>839361.55</v>
      </c>
      <c r="O66" s="103">
        <v>135194.38</v>
      </c>
      <c r="P66" s="103">
        <v>146261.9</v>
      </c>
      <c r="Q66" s="103">
        <v>1084064.62</v>
      </c>
      <c r="R66" s="103">
        <v>5704796.44</v>
      </c>
      <c r="S66" s="103">
        <v>6544756.64</v>
      </c>
      <c r="T66" s="103">
        <v>1234287.54</v>
      </c>
      <c r="U66" s="103">
        <v>1393255.7</v>
      </c>
      <c r="V66" s="103">
        <v>8019778</v>
      </c>
    </row>
    <row r="67" spans="1:22" ht="18">
      <c r="A67" s="2"/>
      <c r="B67" s="32" t="s">
        <v>108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</row>
    <row r="68" spans="1:22" ht="18">
      <c r="A68" s="2">
        <v>57</v>
      </c>
      <c r="B68" s="2" t="s">
        <v>73</v>
      </c>
      <c r="C68" s="103">
        <v>903222.4</v>
      </c>
      <c r="D68" s="103">
        <v>1071592.4</v>
      </c>
      <c r="E68" s="103"/>
      <c r="F68" s="103">
        <v>222180.7</v>
      </c>
      <c r="G68" s="103">
        <v>1184830.4</v>
      </c>
      <c r="H68" s="103">
        <v>1775181.4</v>
      </c>
      <c r="I68" s="103">
        <v>2121293.8</v>
      </c>
      <c r="J68" s="103"/>
      <c r="K68" s="103">
        <v>475802.7</v>
      </c>
      <c r="L68" s="103">
        <v>2535334.6</v>
      </c>
      <c r="M68" s="103">
        <v>437699.3</v>
      </c>
      <c r="N68" s="103">
        <v>479457.2</v>
      </c>
      <c r="O68" s="103"/>
      <c r="P68" s="103">
        <v>120636.7</v>
      </c>
      <c r="Q68" s="103">
        <v>651020.8</v>
      </c>
      <c r="R68" s="103">
        <v>3982080.6</v>
      </c>
      <c r="S68" s="103">
        <v>4677629.5</v>
      </c>
      <c r="T68" s="103"/>
      <c r="U68" s="103">
        <v>1079552.9</v>
      </c>
      <c r="V68" s="103">
        <v>5189191.3</v>
      </c>
    </row>
    <row r="69" spans="1:22" ht="18">
      <c r="A69" s="2">
        <v>58</v>
      </c>
      <c r="B69" s="2" t="s">
        <v>74</v>
      </c>
      <c r="C69" s="100">
        <v>5612168</v>
      </c>
      <c r="D69" s="100">
        <v>6825838</v>
      </c>
      <c r="E69" s="100">
        <v>1436011</v>
      </c>
      <c r="F69" s="100">
        <v>1756320</v>
      </c>
      <c r="G69" s="100">
        <v>7303581</v>
      </c>
      <c r="H69" s="100">
        <v>8402791</v>
      </c>
      <c r="I69" s="100">
        <v>10088284</v>
      </c>
      <c r="J69" s="100">
        <f>18386*37595*3</f>
        <v>2073665010</v>
      </c>
      <c r="K69" s="100">
        <v>2551828</v>
      </c>
      <c r="L69" s="100">
        <v>10632505</v>
      </c>
      <c r="M69" s="100">
        <v>1934075</v>
      </c>
      <c r="N69" s="100">
        <v>2074068</v>
      </c>
      <c r="O69" s="100">
        <v>464691</v>
      </c>
      <c r="P69" s="100">
        <v>539739</v>
      </c>
      <c r="Q69" s="100">
        <v>2666224</v>
      </c>
      <c r="R69" s="100">
        <v>19891050</v>
      </c>
      <c r="S69" s="100">
        <v>23960277</v>
      </c>
      <c r="T69" s="100">
        <v>5175054</v>
      </c>
      <c r="U69" s="100">
        <v>6185147</v>
      </c>
      <c r="V69" s="100">
        <v>25931038</v>
      </c>
    </row>
    <row r="70" spans="1:22" ht="18">
      <c r="A70" s="2">
        <v>59</v>
      </c>
      <c r="B70" s="2" t="s">
        <v>75</v>
      </c>
      <c r="C70" s="103">
        <v>2917356</v>
      </c>
      <c r="D70" s="103">
        <v>2956380</v>
      </c>
      <c r="E70" s="103"/>
      <c r="F70" s="103">
        <v>676784.9</v>
      </c>
      <c r="G70" s="103">
        <v>3286576</v>
      </c>
      <c r="H70" s="103">
        <v>3494246</v>
      </c>
      <c r="I70" s="103">
        <v>3602910</v>
      </c>
      <c r="J70" s="103"/>
      <c r="K70" s="103">
        <v>876896.6</v>
      </c>
      <c r="L70" s="103">
        <v>4003984</v>
      </c>
      <c r="M70" s="103">
        <v>933761</v>
      </c>
      <c r="N70" s="103">
        <v>939628</v>
      </c>
      <c r="O70" s="103"/>
      <c r="P70" s="103">
        <v>248629</v>
      </c>
      <c r="Q70" s="103">
        <v>1048840</v>
      </c>
      <c r="R70" s="103">
        <v>9240454.38</v>
      </c>
      <c r="S70" s="103">
        <v>9487882.32</v>
      </c>
      <c r="T70" s="103"/>
      <c r="U70" s="103">
        <v>2477807.9</v>
      </c>
      <c r="V70" s="103">
        <v>10597502.34</v>
      </c>
    </row>
    <row r="71" spans="1:22" ht="18">
      <c r="A71" s="2">
        <v>60</v>
      </c>
      <c r="B71" s="2" t="s">
        <v>76</v>
      </c>
      <c r="C71" s="111">
        <v>5300322.4</v>
      </c>
      <c r="D71" s="111">
        <v>6583502.9</v>
      </c>
      <c r="E71" s="111">
        <v>1376656.9</v>
      </c>
      <c r="F71" s="111">
        <v>1359771.7</v>
      </c>
      <c r="G71" s="104">
        <v>7195310.3</v>
      </c>
      <c r="H71" s="111">
        <v>8681458.1</v>
      </c>
      <c r="I71" s="111">
        <v>10340440.4</v>
      </c>
      <c r="J71" s="111">
        <v>2308917.6</v>
      </c>
      <c r="K71" s="111">
        <v>2445844.4</v>
      </c>
      <c r="L71" s="104">
        <v>11362812</v>
      </c>
      <c r="M71" s="111">
        <v>2657124</v>
      </c>
      <c r="N71" s="111">
        <v>3015822.6</v>
      </c>
      <c r="O71" s="111">
        <v>691737.2</v>
      </c>
      <c r="P71" s="111">
        <v>718303.3</v>
      </c>
      <c r="Q71" s="111">
        <v>3950460.5</v>
      </c>
      <c r="R71" s="111">
        <v>20216719.2</v>
      </c>
      <c r="S71" s="111">
        <v>5291967.2</v>
      </c>
      <c r="T71" s="111">
        <v>23394301.5</v>
      </c>
      <c r="U71" s="111">
        <v>5673743.1</v>
      </c>
      <c r="V71" s="111">
        <v>26146314.5</v>
      </c>
    </row>
    <row r="72" spans="1:22" ht="18">
      <c r="A72" s="2">
        <v>61</v>
      </c>
      <c r="B72" s="2" t="s">
        <v>77</v>
      </c>
      <c r="C72" s="100">
        <v>1529600</v>
      </c>
      <c r="D72" s="100">
        <v>2339600</v>
      </c>
      <c r="E72" s="100">
        <v>515207.7</v>
      </c>
      <c r="F72" s="100">
        <v>535892.8</v>
      </c>
      <c r="G72" s="100">
        <v>2061600</v>
      </c>
      <c r="H72" s="100">
        <v>2535000</v>
      </c>
      <c r="I72" s="100">
        <v>3640200</v>
      </c>
      <c r="J72" s="100">
        <v>813036.19</v>
      </c>
      <c r="K72" s="100">
        <v>843786.9</v>
      </c>
      <c r="L72" s="100">
        <v>3603000</v>
      </c>
      <c r="M72" s="100">
        <v>636400</v>
      </c>
      <c r="N72" s="100">
        <v>904000</v>
      </c>
      <c r="O72" s="100">
        <v>207999.59</v>
      </c>
      <c r="P72" s="100">
        <v>204125.4</v>
      </c>
      <c r="Q72" s="100">
        <v>963300</v>
      </c>
      <c r="R72" s="100">
        <v>1242168.2</v>
      </c>
      <c r="S72" s="100">
        <v>1494994.8</v>
      </c>
      <c r="T72" s="100">
        <v>317795.21</v>
      </c>
      <c r="U72" s="100">
        <v>304545.3</v>
      </c>
      <c r="V72" s="100">
        <v>1325767.1</v>
      </c>
    </row>
    <row r="73" spans="1:22" ht="18">
      <c r="A73" s="2">
        <v>62</v>
      </c>
      <c r="B73" s="2" t="s">
        <v>78</v>
      </c>
      <c r="C73" s="104">
        <v>3337340</v>
      </c>
      <c r="D73" s="104">
        <v>3746840</v>
      </c>
      <c r="E73" s="104">
        <v>820366.94</v>
      </c>
      <c r="F73" s="104">
        <v>904610</v>
      </c>
      <c r="G73" s="104">
        <v>6157504.4</v>
      </c>
      <c r="H73" s="104">
        <v>4761187</v>
      </c>
      <c r="I73" s="104">
        <v>5127967</v>
      </c>
      <c r="J73" s="104">
        <v>1196516.2</v>
      </c>
      <c r="K73" s="104">
        <v>1280144</v>
      </c>
      <c r="L73" s="104">
        <v>9378304.23</v>
      </c>
      <c r="M73" s="104">
        <v>1122162</v>
      </c>
      <c r="N73" s="104">
        <v>1154130</v>
      </c>
      <c r="O73" s="104">
        <v>279854.15</v>
      </c>
      <c r="P73" s="104">
        <v>291731</v>
      </c>
      <c r="Q73" s="104">
        <v>3252963.72</v>
      </c>
      <c r="R73" s="100">
        <v>11697627</v>
      </c>
      <c r="S73" s="100">
        <v>12691057</v>
      </c>
      <c r="T73" s="100">
        <v>2925975.5</v>
      </c>
      <c r="U73" s="100">
        <v>3155642</v>
      </c>
      <c r="V73" s="100">
        <v>13947973.8</v>
      </c>
    </row>
    <row r="74" spans="1:22" ht="18">
      <c r="A74" s="2"/>
      <c r="B74" s="33" t="s">
        <v>109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8">
      <c r="A75" s="2">
        <v>63</v>
      </c>
      <c r="B75" s="2" t="s">
        <v>79</v>
      </c>
      <c r="C75" s="112">
        <v>277676</v>
      </c>
      <c r="D75" s="112">
        <v>316244</v>
      </c>
      <c r="E75" s="112"/>
      <c r="F75" s="112">
        <v>82899</v>
      </c>
      <c r="G75" s="112">
        <v>389387</v>
      </c>
      <c r="H75" s="112">
        <v>409698</v>
      </c>
      <c r="I75" s="112">
        <v>366979</v>
      </c>
      <c r="J75" s="112"/>
      <c r="K75" s="112">
        <v>124625</v>
      </c>
      <c r="L75" s="112">
        <v>511022</v>
      </c>
      <c r="M75" s="112">
        <v>107985</v>
      </c>
      <c r="N75" s="112">
        <v>120646</v>
      </c>
      <c r="O75" s="112"/>
      <c r="P75" s="112">
        <v>35465</v>
      </c>
      <c r="Q75" s="112">
        <v>141335</v>
      </c>
      <c r="R75" s="112">
        <v>996551</v>
      </c>
      <c r="S75" s="112">
        <v>1119615</v>
      </c>
      <c r="T75" s="112"/>
      <c r="U75" s="112">
        <v>298298</v>
      </c>
      <c r="V75" s="112">
        <v>1314077</v>
      </c>
    </row>
    <row r="76" spans="1:22" ht="18">
      <c r="A76" s="2">
        <v>64</v>
      </c>
      <c r="B76" s="2" t="s">
        <v>80</v>
      </c>
      <c r="C76" s="112">
        <v>1197394.0289999999</v>
      </c>
      <c r="D76" s="112">
        <v>1410548.25</v>
      </c>
      <c r="E76" s="113">
        <v>282469.36</v>
      </c>
      <c r="F76" s="112">
        <v>371933.08</v>
      </c>
      <c r="G76" s="112">
        <v>1678477.53</v>
      </c>
      <c r="H76" s="112">
        <v>1797817.02691</v>
      </c>
      <c r="I76" s="112">
        <v>2025870.41</v>
      </c>
      <c r="J76" s="113">
        <v>427716.58</v>
      </c>
      <c r="K76" s="112">
        <v>544416.42</v>
      </c>
      <c r="L76" s="112">
        <v>2342612.15</v>
      </c>
      <c r="M76" s="112">
        <v>585310.84207</v>
      </c>
      <c r="N76" s="112">
        <v>686219.94</v>
      </c>
      <c r="O76" s="113">
        <v>159159.19</v>
      </c>
      <c r="P76" s="112">
        <v>193181.2</v>
      </c>
      <c r="Q76" s="112">
        <v>829751.17</v>
      </c>
      <c r="R76" s="112">
        <v>4441776.7369800005</v>
      </c>
      <c r="S76" s="112">
        <v>5142016.85</v>
      </c>
      <c r="T76" s="113">
        <v>1101192.48</v>
      </c>
      <c r="U76" s="112">
        <v>1393574</v>
      </c>
      <c r="V76" s="112">
        <v>6147967.82</v>
      </c>
    </row>
    <row r="77" spans="1:22" ht="18.75">
      <c r="A77" s="2">
        <v>65</v>
      </c>
      <c r="B77" s="2" t="s">
        <v>81</v>
      </c>
      <c r="C77" s="58">
        <v>448477.14650810004</v>
      </c>
      <c r="D77" s="58">
        <v>517227.22040000005</v>
      </c>
      <c r="E77" s="112"/>
      <c r="F77" s="58">
        <v>109054.5</v>
      </c>
      <c r="G77" s="58">
        <v>632622.4498999999</v>
      </c>
      <c r="H77" s="58">
        <v>733490.1901398002</v>
      </c>
      <c r="I77" s="58">
        <v>860521.5666000001</v>
      </c>
      <c r="J77" s="112"/>
      <c r="K77" s="58">
        <v>202129.06</v>
      </c>
      <c r="L77" s="58">
        <v>906641.3243900001</v>
      </c>
      <c r="M77" s="58">
        <v>257562.45757950004</v>
      </c>
      <c r="N77" s="58">
        <v>299995.17130000005</v>
      </c>
      <c r="O77" s="112"/>
      <c r="P77" s="58">
        <v>77381.2</v>
      </c>
      <c r="Q77" s="58">
        <v>332343.91261000006</v>
      </c>
      <c r="R77" s="58">
        <v>1693517.8833825998</v>
      </c>
      <c r="S77" s="58">
        <v>1974243.674</v>
      </c>
      <c r="T77" s="112"/>
      <c r="U77" s="58">
        <v>470741.35</v>
      </c>
      <c r="V77" s="58">
        <v>2145419.68947</v>
      </c>
    </row>
    <row r="78" spans="1:22" ht="18">
      <c r="A78" s="2">
        <v>66</v>
      </c>
      <c r="B78" s="2" t="s">
        <v>82</v>
      </c>
      <c r="C78" s="112">
        <v>885422</v>
      </c>
      <c r="D78" s="112">
        <v>933807</v>
      </c>
      <c r="E78" s="112">
        <v>189917</v>
      </c>
      <c r="F78" s="112">
        <v>211990</v>
      </c>
      <c r="G78" s="112">
        <v>1059978</v>
      </c>
      <c r="H78" s="112">
        <v>1392600</v>
      </c>
      <c r="I78" s="112">
        <v>1400062</v>
      </c>
      <c r="J78" s="112">
        <v>306345</v>
      </c>
      <c r="K78" s="112">
        <v>339268</v>
      </c>
      <c r="L78" s="112">
        <v>1591228</v>
      </c>
      <c r="M78" s="112">
        <v>326874</v>
      </c>
      <c r="N78" s="112">
        <v>351209</v>
      </c>
      <c r="O78" s="112">
        <v>76725</v>
      </c>
      <c r="P78" s="112">
        <v>103006</v>
      </c>
      <c r="Q78" s="112">
        <v>584322</v>
      </c>
      <c r="R78" s="112">
        <v>3202505</v>
      </c>
      <c r="S78" s="112">
        <v>3486904</v>
      </c>
      <c r="T78" s="112">
        <v>723035</v>
      </c>
      <c r="U78" s="112">
        <v>850775</v>
      </c>
      <c r="V78" s="112">
        <v>3895874</v>
      </c>
    </row>
    <row r="79" spans="1:22" ht="18.75">
      <c r="A79" s="2">
        <v>67</v>
      </c>
      <c r="B79" s="2" t="s">
        <v>83</v>
      </c>
      <c r="C79" s="56">
        <v>2508218.6</v>
      </c>
      <c r="D79" s="56">
        <v>3203082.9</v>
      </c>
      <c r="E79" s="56">
        <v>679659.5</v>
      </c>
      <c r="F79" s="56">
        <v>686055.3</v>
      </c>
      <c r="G79" s="56">
        <v>3506873.5</v>
      </c>
      <c r="H79" s="56">
        <v>3218792.9</v>
      </c>
      <c r="I79" s="56">
        <v>4108013.8</v>
      </c>
      <c r="J79" s="56">
        <v>915540.9</v>
      </c>
      <c r="K79" s="56">
        <v>1013004.5</v>
      </c>
      <c r="L79" s="56">
        <v>4469203.9</v>
      </c>
      <c r="M79" s="56">
        <v>929920</v>
      </c>
      <c r="N79" s="56">
        <v>1048978.7</v>
      </c>
      <c r="O79" s="56">
        <v>248021.6</v>
      </c>
      <c r="P79" s="56">
        <v>266392.4</v>
      </c>
      <c r="Q79" s="56">
        <v>1406515.2</v>
      </c>
      <c r="R79" s="56">
        <v>8125259.8</v>
      </c>
      <c r="S79" s="56">
        <v>10224096.1</v>
      </c>
      <c r="T79" s="56">
        <v>2301025.7</v>
      </c>
      <c r="U79" s="56">
        <v>2551492.3</v>
      </c>
      <c r="V79" s="56">
        <v>11508000</v>
      </c>
    </row>
    <row r="80" spans="1:22" ht="18">
      <c r="A80" s="2">
        <v>68</v>
      </c>
      <c r="B80" s="2" t="s">
        <v>84</v>
      </c>
      <c r="C80" s="112">
        <v>1562892</v>
      </c>
      <c r="D80" s="112">
        <v>1850886</v>
      </c>
      <c r="E80" s="112"/>
      <c r="F80" s="112">
        <v>375484.7</v>
      </c>
      <c r="G80" s="112">
        <v>2742359.3</v>
      </c>
      <c r="H80" s="112">
        <v>2162557</v>
      </c>
      <c r="I80" s="112">
        <v>2559526</v>
      </c>
      <c r="J80" s="112"/>
      <c r="K80" s="112">
        <v>562964.3</v>
      </c>
      <c r="L80" s="112">
        <v>3568045.7</v>
      </c>
      <c r="M80" s="112">
        <v>505207</v>
      </c>
      <c r="N80" s="112">
        <v>552568</v>
      </c>
      <c r="O80" s="112"/>
      <c r="P80" s="112">
        <v>161214</v>
      </c>
      <c r="Q80" s="112">
        <v>1263319</v>
      </c>
      <c r="R80" s="112">
        <v>5433602</v>
      </c>
      <c r="S80" s="112">
        <v>6308778</v>
      </c>
      <c r="T80" s="112"/>
      <c r="U80" s="112">
        <v>1452284.1</v>
      </c>
      <c r="V80" s="112">
        <v>2026101</v>
      </c>
    </row>
    <row r="81" spans="1:22" ht="18.75">
      <c r="A81" s="2">
        <v>69</v>
      </c>
      <c r="B81" s="2" t="s">
        <v>85</v>
      </c>
      <c r="C81" s="56">
        <v>5658302.07</v>
      </c>
      <c r="D81" s="56">
        <v>6086228.34</v>
      </c>
      <c r="E81" s="56">
        <v>1468779</v>
      </c>
      <c r="F81" s="57">
        <v>1650482</v>
      </c>
      <c r="G81" s="56">
        <v>6760711.93</v>
      </c>
      <c r="H81" s="56">
        <v>7476347.63</v>
      </c>
      <c r="I81" s="56">
        <v>9067292.56</v>
      </c>
      <c r="J81" s="112">
        <v>2073014</v>
      </c>
      <c r="K81" s="56">
        <v>2371662</v>
      </c>
      <c r="L81" s="56">
        <v>10227725.87</v>
      </c>
      <c r="M81" s="56">
        <v>1785786.79</v>
      </c>
      <c r="N81" s="56">
        <v>2382736.93</v>
      </c>
      <c r="O81" s="112">
        <v>481600</v>
      </c>
      <c r="P81" s="112">
        <v>619657</v>
      </c>
      <c r="Q81" s="56">
        <v>3482823</v>
      </c>
      <c r="R81" s="56">
        <v>18130719.3</v>
      </c>
      <c r="S81" s="56">
        <v>20883866.76</v>
      </c>
      <c r="T81" s="112">
        <v>4973837</v>
      </c>
      <c r="U81" s="112">
        <v>5902198</v>
      </c>
      <c r="V81" s="56">
        <v>24866734.83</v>
      </c>
    </row>
    <row r="82" spans="1:22" ht="18.75">
      <c r="A82" s="2">
        <v>70</v>
      </c>
      <c r="B82" s="2" t="s">
        <v>86</v>
      </c>
      <c r="C82" s="59">
        <v>2654812.5972881014</v>
      </c>
      <c r="D82" s="59">
        <v>3425368.072576795</v>
      </c>
      <c r="E82" s="59">
        <v>840195.6072999999</v>
      </c>
      <c r="F82" s="59">
        <v>840844.0999999999</v>
      </c>
      <c r="G82" s="59">
        <v>3590084.64</v>
      </c>
      <c r="H82" s="59">
        <v>4194964.608</v>
      </c>
      <c r="I82" s="59">
        <v>5285522.06</v>
      </c>
      <c r="J82" s="59">
        <v>1176998.91627</v>
      </c>
      <c r="K82" s="59">
        <v>1258185.1</v>
      </c>
      <c r="L82" s="59">
        <v>5639822.76</v>
      </c>
      <c r="M82" s="59">
        <v>1181205.36</v>
      </c>
      <c r="N82" s="59">
        <v>1425129.7</v>
      </c>
      <c r="O82" s="59">
        <v>335823</v>
      </c>
      <c r="P82" s="59">
        <v>367827.2999999999</v>
      </c>
      <c r="Q82" s="59">
        <v>1910859.3104400001</v>
      </c>
      <c r="R82" s="59">
        <v>10830763.4</v>
      </c>
      <c r="S82" s="59">
        <v>13144198.8</v>
      </c>
      <c r="T82" s="59">
        <v>2958669.3106</v>
      </c>
      <c r="U82" s="59">
        <v>3222184.8</v>
      </c>
      <c r="V82" s="59">
        <v>14148945.677863207</v>
      </c>
    </row>
    <row r="83" spans="1:22" ht="18.75">
      <c r="A83" s="2">
        <v>71</v>
      </c>
      <c r="B83" s="2" t="s">
        <v>87</v>
      </c>
      <c r="C83" s="56">
        <v>3543823.4</v>
      </c>
      <c r="D83" s="56">
        <v>3945594.4</v>
      </c>
      <c r="E83" s="112"/>
      <c r="F83" s="56">
        <v>962295.3</v>
      </c>
      <c r="G83" s="56">
        <v>4189185.7</v>
      </c>
      <c r="H83" s="56">
        <v>4506889.1</v>
      </c>
      <c r="I83" s="56">
        <v>5221110.4</v>
      </c>
      <c r="J83" s="112"/>
      <c r="K83" s="56">
        <v>1307317.8</v>
      </c>
      <c r="L83" s="56">
        <v>5878979.5</v>
      </c>
      <c r="M83" s="56">
        <v>1237357.5</v>
      </c>
      <c r="N83" s="56">
        <v>1471136.5</v>
      </c>
      <c r="O83" s="112"/>
      <c r="P83" s="56">
        <v>387820</v>
      </c>
      <c r="Q83" s="56">
        <v>2190240</v>
      </c>
      <c r="R83" s="56">
        <v>11633011</v>
      </c>
      <c r="S83" s="56">
        <v>13309426.4</v>
      </c>
      <c r="T83" s="112"/>
      <c r="U83" s="56">
        <v>3318691.8</v>
      </c>
      <c r="V83" s="56">
        <v>14489631</v>
      </c>
    </row>
    <row r="84" spans="1:22" ht="18">
      <c r="A84" s="2">
        <v>72</v>
      </c>
      <c r="B84" s="2" t="s">
        <v>88</v>
      </c>
      <c r="C84" s="112">
        <v>4372858</v>
      </c>
      <c r="D84" s="112">
        <v>5216314</v>
      </c>
      <c r="E84" s="112">
        <v>1175732</v>
      </c>
      <c r="F84" s="112">
        <v>1357517</v>
      </c>
      <c r="G84" s="112">
        <v>5814702</v>
      </c>
      <c r="H84" s="112">
        <v>5792206</v>
      </c>
      <c r="I84" s="112">
        <v>6362632</v>
      </c>
      <c r="J84" s="112">
        <v>1498240</v>
      </c>
      <c r="K84" s="112">
        <v>1786952</v>
      </c>
      <c r="L84" s="112">
        <v>7396925</v>
      </c>
      <c r="M84" s="112">
        <v>1355585</v>
      </c>
      <c r="N84" s="112">
        <v>1406941</v>
      </c>
      <c r="O84" s="112">
        <v>339326</v>
      </c>
      <c r="P84" s="112">
        <v>424082</v>
      </c>
      <c r="Q84" s="112">
        <v>1975092</v>
      </c>
      <c r="R84" s="112">
        <v>14829387</v>
      </c>
      <c r="S84" s="112">
        <v>15967210</v>
      </c>
      <c r="T84" s="112">
        <v>3802808</v>
      </c>
      <c r="U84" s="112">
        <v>4366023</v>
      </c>
      <c r="V84" s="112">
        <v>19243894</v>
      </c>
    </row>
    <row r="85" spans="1:22" ht="18.75">
      <c r="A85" s="2">
        <v>73</v>
      </c>
      <c r="B85" s="2" t="s">
        <v>89</v>
      </c>
      <c r="C85" s="56">
        <v>3324066</v>
      </c>
      <c r="D85" s="56">
        <v>3605797</v>
      </c>
      <c r="E85" s="56">
        <f>(171384204.9+302351051.69+127428539.6)*1.302/1000</f>
        <v>782715.2626393801</v>
      </c>
      <c r="F85" s="56">
        <f>(368002137.41+147094295.69+200582276.17)/1000*1.302</f>
        <v>931813.67946954</v>
      </c>
      <c r="G85" s="56">
        <v>3850995</v>
      </c>
      <c r="H85" s="56">
        <v>3956374.71</v>
      </c>
      <c r="I85" s="56">
        <v>4252880.11</v>
      </c>
      <c r="J85" s="56">
        <f>(183428613.37+328866925.97+201015906.65)*1.302/1000</f>
        <v>928731.50267898</v>
      </c>
      <c r="K85" s="56">
        <f>(398811987.25+235370249.52+216264502.61)/1000*1.302</f>
        <v>1107281.65467276</v>
      </c>
      <c r="L85" s="56">
        <v>4546422</v>
      </c>
      <c r="M85" s="56">
        <v>986196.0768000002</v>
      </c>
      <c r="N85" s="56">
        <v>1027059.264</v>
      </c>
      <c r="O85" s="56">
        <f>(60476167.93+70475903.9+53526392.47)*1.302/1000</f>
        <v>240190.9605186</v>
      </c>
      <c r="P85" s="56">
        <f>(84510948.23+63770130.46+68700901.29)/1000*1.302</f>
        <v>282510.53793396003</v>
      </c>
      <c r="Q85" s="56">
        <v>1104054.336</v>
      </c>
      <c r="R85" s="56">
        <v>10521873.7</v>
      </c>
      <c r="S85" s="56">
        <f>(3970771139.05+2117227358.45+2628542751.18)/1000*1.302</f>
        <v>11348936.705781361</v>
      </c>
      <c r="T85" s="56">
        <f>T89+T82+T79+T76</f>
        <v>6360887.490600001</v>
      </c>
      <c r="U85" s="56">
        <v>2932996.80111228</v>
      </c>
      <c r="V85" s="56">
        <f>(10172107805+369532604.44+111598846.33+12392546521.33+374384788.29)/1000</f>
        <v>23420170.56539</v>
      </c>
    </row>
    <row r="86" spans="1:22" ht="18.75">
      <c r="A86" s="2">
        <v>74</v>
      </c>
      <c r="B86" s="2" t="s">
        <v>90</v>
      </c>
      <c r="C86" s="56">
        <v>1658087.97</v>
      </c>
      <c r="D86" s="56">
        <v>1868714.98</v>
      </c>
      <c r="E86" s="56">
        <v>449114.36</v>
      </c>
      <c r="F86" s="56">
        <v>547964.13</v>
      </c>
      <c r="G86" s="56">
        <v>2498443.4</v>
      </c>
      <c r="H86" s="56">
        <v>1965361.2</v>
      </c>
      <c r="I86" s="56">
        <v>2073845.78</v>
      </c>
      <c r="J86" s="56">
        <v>496536.2</v>
      </c>
      <c r="K86" s="56">
        <v>590380.18</v>
      </c>
      <c r="L86" s="56">
        <v>2708371.7</v>
      </c>
      <c r="M86" s="56">
        <v>551331.57</v>
      </c>
      <c r="N86" s="56">
        <v>611957.5</v>
      </c>
      <c r="O86" s="56">
        <v>147650.94</v>
      </c>
      <c r="P86" s="56">
        <v>171188.26</v>
      </c>
      <c r="Q86" s="56">
        <v>996794.2</v>
      </c>
      <c r="R86" s="56">
        <v>4665231.04</v>
      </c>
      <c r="S86" s="56">
        <v>5674175.03</v>
      </c>
      <c r="T86" s="56">
        <v>1324962.6</v>
      </c>
      <c r="U86" s="56">
        <v>1560465.23</v>
      </c>
      <c r="V86" s="56">
        <v>7237983.6</v>
      </c>
    </row>
    <row r="87" spans="1:22" ht="18.75">
      <c r="A87" s="2"/>
      <c r="B87" s="33" t="s">
        <v>110</v>
      </c>
      <c r="C87" s="56"/>
      <c r="D87" s="56"/>
      <c r="E87" s="112"/>
      <c r="F87" s="56"/>
      <c r="G87" s="56"/>
      <c r="H87" s="56"/>
      <c r="I87" s="56"/>
      <c r="J87" s="112"/>
      <c r="K87" s="56"/>
      <c r="L87" s="56"/>
      <c r="M87" s="56"/>
      <c r="N87" s="56"/>
      <c r="O87" s="112"/>
      <c r="P87" s="56"/>
      <c r="Q87" s="56"/>
      <c r="R87" s="56"/>
      <c r="S87" s="56"/>
      <c r="T87" s="112"/>
      <c r="U87" s="56"/>
      <c r="V87" s="56"/>
    </row>
    <row r="88" spans="1:22" ht="18.75">
      <c r="A88" s="2">
        <v>75</v>
      </c>
      <c r="B88" s="2" t="s">
        <v>91</v>
      </c>
      <c r="C88" s="101">
        <v>3055762.2142080003</v>
      </c>
      <c r="D88" s="101">
        <v>3757633.417944</v>
      </c>
      <c r="E88" s="113"/>
      <c r="F88" s="101">
        <v>2824746.86088</v>
      </c>
      <c r="G88" s="101">
        <v>4489735.99788</v>
      </c>
      <c r="H88" s="70">
        <v>3991558.8905280004</v>
      </c>
      <c r="I88" s="70">
        <v>4224464.757576</v>
      </c>
      <c r="J88" s="113"/>
      <c r="K88" s="70">
        <v>3881102.0779440003</v>
      </c>
      <c r="L88" s="70">
        <v>5649284.735136</v>
      </c>
      <c r="M88" s="92">
        <v>1207932.664752</v>
      </c>
      <c r="N88" s="92">
        <v>1282213.71432</v>
      </c>
      <c r="O88" s="113"/>
      <c r="P88" s="92">
        <v>1296371.276928</v>
      </c>
      <c r="Q88" s="92">
        <v>1886716.617408</v>
      </c>
      <c r="R88" s="92">
        <v>2388341.210112</v>
      </c>
      <c r="S88" s="92">
        <v>2778026.319936</v>
      </c>
      <c r="T88" s="113"/>
      <c r="U88" s="92">
        <v>2368005.7348080003</v>
      </c>
      <c r="V88" s="92">
        <v>3194750.897856</v>
      </c>
    </row>
    <row r="89" spans="1:22" ht="18">
      <c r="A89" s="2">
        <v>76</v>
      </c>
      <c r="B89" s="2" t="s">
        <v>92</v>
      </c>
      <c r="C89" s="113">
        <v>21439</v>
      </c>
      <c r="D89" s="113">
        <v>25564.6</v>
      </c>
      <c r="E89" s="113"/>
      <c r="F89" s="113">
        <v>2521.9</v>
      </c>
      <c r="G89" s="113">
        <v>25443</v>
      </c>
      <c r="H89" s="113">
        <v>18045.3</v>
      </c>
      <c r="I89" s="113">
        <v>20397.1</v>
      </c>
      <c r="J89" s="113"/>
      <c r="K89" s="113">
        <v>3822.2</v>
      </c>
      <c r="L89" s="113">
        <v>20329.5</v>
      </c>
      <c r="M89" s="113">
        <v>2994.4</v>
      </c>
      <c r="N89" s="113">
        <v>3884</v>
      </c>
      <c r="O89" s="113"/>
      <c r="P89" s="113">
        <v>815.3</v>
      </c>
      <c r="Q89" s="113">
        <v>3866.3</v>
      </c>
      <c r="R89" s="113">
        <v>52564.2</v>
      </c>
      <c r="S89" s="113">
        <v>62576.6</v>
      </c>
      <c r="T89" s="113"/>
      <c r="U89" s="113">
        <v>11912</v>
      </c>
      <c r="V89" s="113">
        <v>62360.4</v>
      </c>
    </row>
    <row r="90" spans="1:22" ht="15.75">
      <c r="A90" s="2">
        <v>77</v>
      </c>
      <c r="B90" s="2" t="s">
        <v>93</v>
      </c>
      <c r="C90" s="30">
        <v>2198255</v>
      </c>
      <c r="D90" s="30">
        <v>2777127.5</v>
      </c>
      <c r="E90" s="30">
        <v>570390.97</v>
      </c>
      <c r="F90" s="30">
        <v>633262.3</v>
      </c>
      <c r="G90" s="30">
        <v>3459930.88</v>
      </c>
      <c r="H90" s="30">
        <v>2346208.08</v>
      </c>
      <c r="I90" s="30">
        <v>3034015.7</v>
      </c>
      <c r="J90" s="30">
        <v>670592.33</v>
      </c>
      <c r="K90" s="30">
        <v>727060.3</v>
      </c>
      <c r="L90" s="30">
        <v>3746205.8</v>
      </c>
      <c r="M90" s="30">
        <v>779415.46</v>
      </c>
      <c r="N90" s="30">
        <v>889958.7</v>
      </c>
      <c r="O90" s="30">
        <v>213265.14</v>
      </c>
      <c r="P90" s="30">
        <v>235162</v>
      </c>
      <c r="Q90" s="30">
        <v>1143602.15</v>
      </c>
      <c r="R90" s="30">
        <v>6971541.26</v>
      </c>
      <c r="S90" s="30">
        <v>8579980.4</v>
      </c>
      <c r="T90" s="30">
        <v>1880021.76</v>
      </c>
      <c r="U90" s="30">
        <v>2112384</v>
      </c>
      <c r="V90" s="30">
        <v>9952777.26</v>
      </c>
    </row>
    <row r="91" spans="1:22" ht="18">
      <c r="A91" s="2">
        <v>78</v>
      </c>
      <c r="B91" s="2" t="s">
        <v>94</v>
      </c>
      <c r="C91" s="113">
        <v>2918870</v>
      </c>
      <c r="D91" s="113">
        <v>2974658</v>
      </c>
      <c r="E91" s="113">
        <v>690380</v>
      </c>
      <c r="F91" s="113">
        <v>761084</v>
      </c>
      <c r="G91" s="113">
        <v>3780368</v>
      </c>
      <c r="H91" s="113">
        <v>3983810</v>
      </c>
      <c r="I91" s="113">
        <v>3895606</v>
      </c>
      <c r="J91" s="113">
        <v>942538</v>
      </c>
      <c r="K91" s="113">
        <v>1053383</v>
      </c>
      <c r="L91" s="113">
        <v>4404663</v>
      </c>
      <c r="M91" s="113">
        <v>1219529</v>
      </c>
      <c r="N91" s="113">
        <v>1274694</v>
      </c>
      <c r="O91" s="113">
        <v>299528</v>
      </c>
      <c r="P91" s="113">
        <v>345158</v>
      </c>
      <c r="Q91" s="113">
        <v>1763393</v>
      </c>
      <c r="R91" s="113">
        <v>10966953</v>
      </c>
      <c r="S91" s="113">
        <v>11783039</v>
      </c>
      <c r="T91" s="113">
        <v>2548738</v>
      </c>
      <c r="U91" s="113">
        <v>2863661</v>
      </c>
      <c r="V91" s="113">
        <v>13065317</v>
      </c>
    </row>
    <row r="92" spans="1:22" ht="18">
      <c r="A92" s="2">
        <v>79</v>
      </c>
      <c r="B92" s="2" t="s">
        <v>95</v>
      </c>
      <c r="C92" s="112">
        <v>1235196.9</v>
      </c>
      <c r="D92" s="112">
        <v>1622663.8</v>
      </c>
      <c r="E92" s="112">
        <v>300296</v>
      </c>
      <c r="F92" s="112">
        <v>348583.9</v>
      </c>
      <c r="G92" s="112">
        <v>1836100.5</v>
      </c>
      <c r="H92" s="112">
        <v>1626711.5</v>
      </c>
      <c r="I92" s="112">
        <v>1960484.1</v>
      </c>
      <c r="J92" s="112">
        <v>403051</v>
      </c>
      <c r="K92" s="112">
        <v>470855</v>
      </c>
      <c r="L92" s="112">
        <v>2291422</v>
      </c>
      <c r="M92" s="112">
        <v>491452.3</v>
      </c>
      <c r="N92" s="112">
        <v>553779.5</v>
      </c>
      <c r="O92" s="112">
        <v>105254</v>
      </c>
      <c r="P92" s="112">
        <v>128775.5</v>
      </c>
      <c r="Q92" s="112">
        <v>698177</v>
      </c>
      <c r="R92" s="112">
        <v>5305398.7</v>
      </c>
      <c r="S92" s="112">
        <v>5801702.4</v>
      </c>
      <c r="T92" s="112">
        <v>1160340</v>
      </c>
      <c r="U92" s="112">
        <v>1228066.8</v>
      </c>
      <c r="V92" s="112">
        <v>6578559.4</v>
      </c>
    </row>
    <row r="93" spans="1:22" ht="18">
      <c r="A93" s="2">
        <v>80</v>
      </c>
      <c r="B93" s="2" t="s">
        <v>96</v>
      </c>
      <c r="C93" s="113">
        <v>536503.35</v>
      </c>
      <c r="D93" s="113">
        <v>564675.4</v>
      </c>
      <c r="E93" s="113">
        <v>131934.03</v>
      </c>
      <c r="F93" s="113">
        <v>138979.2</v>
      </c>
      <c r="G93" s="113">
        <v>851815.1</v>
      </c>
      <c r="H93" s="113">
        <v>729943.08</v>
      </c>
      <c r="I93" s="113">
        <v>815831.1</v>
      </c>
      <c r="J93" s="113">
        <v>180743</v>
      </c>
      <c r="K93" s="113">
        <v>227554.7</v>
      </c>
      <c r="L93" s="113">
        <v>1206623.5</v>
      </c>
      <c r="M93" s="113">
        <v>234107.28</v>
      </c>
      <c r="N93" s="113">
        <v>264878.5</v>
      </c>
      <c r="O93" s="113" t="s">
        <v>105</v>
      </c>
      <c r="P93" s="113">
        <v>77210.4</v>
      </c>
      <c r="Q93" s="113">
        <v>385318.1</v>
      </c>
      <c r="R93" s="113">
        <v>1942689.36</v>
      </c>
      <c r="S93" s="113">
        <v>2511611.4</v>
      </c>
      <c r="T93" s="113">
        <v>490290.82</v>
      </c>
      <c r="U93" s="113">
        <v>638846.8</v>
      </c>
      <c r="V93" s="113">
        <v>2892685</v>
      </c>
    </row>
    <row r="94" spans="1:22" ht="18">
      <c r="A94" s="2">
        <v>81</v>
      </c>
      <c r="B94" s="2" t="s">
        <v>97</v>
      </c>
      <c r="C94" s="113">
        <v>1589731</v>
      </c>
      <c r="D94" s="113">
        <v>1867050</v>
      </c>
      <c r="E94" s="113">
        <v>502705</v>
      </c>
      <c r="F94" s="113">
        <v>534712</v>
      </c>
      <c r="G94" s="113">
        <v>2287000</v>
      </c>
      <c r="H94" s="113">
        <v>2968805</v>
      </c>
      <c r="I94" s="113">
        <v>3249920</v>
      </c>
      <c r="J94" s="113">
        <v>809642</v>
      </c>
      <c r="K94" s="113">
        <v>871457</v>
      </c>
      <c r="L94" s="113">
        <v>3580835</v>
      </c>
      <c r="M94" s="113">
        <v>1195448</v>
      </c>
      <c r="N94" s="113">
        <v>1296430</v>
      </c>
      <c r="O94" s="113">
        <v>294982</v>
      </c>
      <c r="P94" s="113">
        <v>314344</v>
      </c>
      <c r="Q94" s="113">
        <v>1495493</v>
      </c>
      <c r="R94" s="113">
        <v>7233917</v>
      </c>
      <c r="S94" s="113">
        <v>8037325</v>
      </c>
      <c r="T94" s="113">
        <v>2064667</v>
      </c>
      <c r="U94" s="113">
        <v>2230876</v>
      </c>
      <c r="V94" s="113">
        <v>9233582</v>
      </c>
    </row>
    <row r="95" spans="1:22" ht="18">
      <c r="A95" s="2">
        <v>82</v>
      </c>
      <c r="B95" s="2" t="s">
        <v>98</v>
      </c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</row>
    <row r="96" spans="1:22" ht="18.75">
      <c r="A96" s="2">
        <v>83</v>
      </c>
      <c r="B96" s="2" t="s">
        <v>99</v>
      </c>
      <c r="C96" s="56">
        <v>264310.2</v>
      </c>
      <c r="D96" s="56">
        <v>289484.5</v>
      </c>
      <c r="E96" s="114">
        <v>64896.78927999999</v>
      </c>
      <c r="F96" s="56">
        <v>62498.4</v>
      </c>
      <c r="G96" s="56">
        <v>298528.8</v>
      </c>
      <c r="H96" s="56">
        <v>350412.2</v>
      </c>
      <c r="I96" s="56">
        <v>371386.7</v>
      </c>
      <c r="J96" s="114">
        <v>86608.8432</v>
      </c>
      <c r="K96" s="56">
        <v>86599.3</v>
      </c>
      <c r="L96" s="56">
        <v>431621.7</v>
      </c>
      <c r="M96" s="56">
        <v>121031.2</v>
      </c>
      <c r="N96" s="56">
        <v>115059.2</v>
      </c>
      <c r="O96" s="114">
        <v>26387.97178</v>
      </c>
      <c r="P96" s="56">
        <v>38456.9</v>
      </c>
      <c r="Q96" s="56">
        <v>164845.3</v>
      </c>
      <c r="R96" s="56">
        <v>904626.7</v>
      </c>
      <c r="S96" s="56">
        <v>959474.8</v>
      </c>
      <c r="T96" s="114">
        <v>220662.12441</v>
      </c>
      <c r="U96" s="56">
        <v>254244</v>
      </c>
      <c r="V96" s="56">
        <v>1095994</v>
      </c>
    </row>
  </sheetData>
  <mergeCells count="9">
    <mergeCell ref="R2:V2"/>
    <mergeCell ref="B1:V1"/>
    <mergeCell ref="C2:G2"/>
    <mergeCell ref="H2:L2"/>
    <mergeCell ref="M2:Q2"/>
    <mergeCell ref="C3:G3"/>
    <mergeCell ref="H3:L3"/>
    <mergeCell ref="M3:Q3"/>
    <mergeCell ref="R3:V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8"/>
  <sheetViews>
    <sheetView zoomScale="80" zoomScaleNormal="80" zoomScaleSheetLayoutView="25" workbookViewId="0" topLeftCell="A1">
      <selection activeCell="C2" sqref="C2:D2"/>
    </sheetView>
  </sheetViews>
  <sheetFormatPr defaultColWidth="9.140625" defaultRowHeight="12.75"/>
  <cols>
    <col min="1" max="1" width="9.140625" style="60" customWidth="1"/>
    <col min="2" max="2" width="61.8515625" style="60" customWidth="1"/>
    <col min="3" max="3" width="19.28125" style="0" customWidth="1"/>
    <col min="4" max="4" width="20.7109375" style="0" customWidth="1"/>
    <col min="5" max="5" width="21.57421875" style="0" customWidth="1"/>
    <col min="6" max="6" width="19.7109375" style="0" customWidth="1"/>
    <col min="7" max="7" width="20.421875" style="0" customWidth="1"/>
    <col min="8" max="8" width="20.7109375" style="0" customWidth="1"/>
    <col min="9" max="9" width="22.7109375" style="0" customWidth="1"/>
    <col min="10" max="10" width="23.8515625" style="0" customWidth="1"/>
    <col min="11" max="11" width="23.140625" style="0" customWidth="1"/>
    <col min="12" max="12" width="22.28125" style="0" customWidth="1"/>
    <col min="13" max="13" width="19.57421875" style="0" customWidth="1"/>
    <col min="14" max="14" width="20.7109375" style="0" customWidth="1"/>
    <col min="15" max="15" width="20.140625" style="0" customWidth="1"/>
    <col min="16" max="16" width="25.8515625" style="0" customWidth="1"/>
    <col min="17" max="17" width="22.140625" style="0" customWidth="1"/>
    <col min="18" max="18" width="18.00390625" style="0" customWidth="1"/>
    <col min="19" max="19" width="21.7109375" style="0" customWidth="1"/>
    <col min="20" max="20" width="22.00390625" style="0" customWidth="1"/>
    <col min="21" max="21" width="20.421875" style="0" customWidth="1"/>
    <col min="22" max="22" width="18.7109375" style="0" customWidth="1"/>
    <col min="23" max="23" width="20.28125" style="0" customWidth="1"/>
    <col min="24" max="24" width="24.8515625" style="0" customWidth="1"/>
    <col min="25" max="25" width="27.28125" style="0" customWidth="1"/>
    <col min="26" max="26" width="27.00390625" style="0" customWidth="1"/>
    <col min="27" max="27" width="16.28125" style="0" customWidth="1"/>
    <col min="28" max="28" width="18.421875" style="0" customWidth="1"/>
    <col min="29" max="29" width="17.421875" style="0" customWidth="1"/>
    <col min="30" max="30" width="18.28125" style="0" customWidth="1"/>
    <col min="31" max="31" width="18.8515625" style="0" customWidth="1"/>
    <col min="32" max="32" width="19.7109375" style="0" customWidth="1"/>
    <col min="33" max="33" width="17.00390625" style="0" customWidth="1"/>
    <col min="34" max="34" width="20.57421875" style="0" customWidth="1"/>
    <col min="35" max="35" width="20.421875" style="0" customWidth="1"/>
    <col min="36" max="36" width="18.7109375" style="0" customWidth="1"/>
    <col min="37" max="37" width="17.00390625" style="0" customWidth="1"/>
    <col min="38" max="38" width="21.00390625" style="0" customWidth="1"/>
    <col min="39" max="39" width="22.8515625" style="0" customWidth="1"/>
    <col min="40" max="40" width="24.421875" style="0" customWidth="1"/>
    <col min="41" max="41" width="19.7109375" style="0" customWidth="1"/>
    <col min="42" max="42" width="21.28125" style="0" customWidth="1"/>
    <col min="43" max="43" width="19.421875" style="0" customWidth="1"/>
    <col min="44" max="44" width="18.00390625" style="0" customWidth="1"/>
    <col min="45" max="45" width="19.00390625" style="0" customWidth="1"/>
    <col min="46" max="46" width="19.28125" style="0" customWidth="1"/>
  </cols>
  <sheetData>
    <row r="1" spans="1:46" ht="15.75" customHeight="1">
      <c r="A1" s="225" t="s">
        <v>132</v>
      </c>
      <c r="B1" s="226"/>
      <c r="C1" s="226"/>
      <c r="D1" s="226"/>
      <c r="E1" s="226"/>
      <c r="F1" s="226"/>
      <c r="G1" s="226"/>
      <c r="H1" s="226"/>
      <c r="I1" s="194"/>
      <c r="J1" s="194"/>
      <c r="K1" s="195"/>
      <c r="L1" s="217"/>
      <c r="M1" s="217"/>
      <c r="N1" s="217"/>
      <c r="O1" s="217"/>
      <c r="P1" s="217"/>
      <c r="Q1" s="208"/>
      <c r="R1" s="208"/>
      <c r="S1" s="208"/>
      <c r="T1" s="208"/>
      <c r="U1" s="208"/>
      <c r="V1" s="208"/>
      <c r="W1" s="208"/>
      <c r="X1" s="208"/>
      <c r="Y1" s="208"/>
      <c r="Z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</row>
    <row r="2" spans="1:46" ht="75.75" customHeight="1">
      <c r="A2" s="62"/>
      <c r="B2" s="62"/>
      <c r="C2" s="223" t="s">
        <v>130</v>
      </c>
      <c r="D2" s="223"/>
      <c r="E2" s="224" t="s">
        <v>10</v>
      </c>
      <c r="F2" s="224"/>
      <c r="G2" s="224" t="s">
        <v>10</v>
      </c>
      <c r="H2" s="224"/>
      <c r="I2" s="19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87.75" customHeight="1">
      <c r="A3" s="62" t="s">
        <v>1</v>
      </c>
      <c r="B3" s="62"/>
      <c r="C3" s="50" t="s">
        <v>126</v>
      </c>
      <c r="D3" s="50" t="s">
        <v>131</v>
      </c>
      <c r="E3" s="174" t="s">
        <v>126</v>
      </c>
      <c r="F3" s="50" t="s">
        <v>131</v>
      </c>
      <c r="G3" s="174" t="s">
        <v>126</v>
      </c>
      <c r="H3" s="50" t="s">
        <v>131</v>
      </c>
      <c r="I3" s="16"/>
      <c r="J3" s="4"/>
      <c r="K3" s="4"/>
      <c r="L3" s="3"/>
      <c r="M3" s="3"/>
      <c r="N3" s="5"/>
      <c r="O3" s="3"/>
      <c r="P3" s="3"/>
      <c r="Q3" s="17"/>
      <c r="R3" s="17"/>
      <c r="S3" s="5"/>
      <c r="T3" s="17"/>
      <c r="U3" s="17"/>
      <c r="V3" s="3"/>
      <c r="W3" s="3"/>
      <c r="X3" s="5"/>
      <c r="Y3" s="3"/>
      <c r="Z3" s="3"/>
      <c r="AA3" s="17"/>
      <c r="AB3" s="17"/>
      <c r="AC3" s="5"/>
      <c r="AD3" s="17"/>
      <c r="AE3" s="17"/>
      <c r="AF3" s="3"/>
      <c r="AG3" s="3"/>
      <c r="AH3" s="16"/>
      <c r="AI3" s="3"/>
      <c r="AJ3" s="3"/>
      <c r="AK3" s="17"/>
      <c r="AL3" s="17"/>
      <c r="AM3" s="5"/>
      <c r="AN3" s="17"/>
      <c r="AO3" s="17"/>
      <c r="AP3" s="3"/>
      <c r="AQ3" s="3"/>
      <c r="AR3" s="5"/>
      <c r="AS3" s="3"/>
      <c r="AT3" s="3"/>
    </row>
    <row r="4" spans="1:46" ht="15.75" customHeight="1">
      <c r="A4" s="165">
        <v>1</v>
      </c>
      <c r="B4" s="165">
        <v>2</v>
      </c>
      <c r="C4" s="186">
        <v>3</v>
      </c>
      <c r="D4" s="186">
        <v>4</v>
      </c>
      <c r="E4" s="186">
        <v>5</v>
      </c>
      <c r="F4" s="186">
        <v>6</v>
      </c>
      <c r="G4" s="186">
        <v>7</v>
      </c>
      <c r="H4" s="186">
        <v>8</v>
      </c>
      <c r="I4" s="19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15.75" customHeight="1">
      <c r="A5" s="62"/>
      <c r="B5" s="64" t="s">
        <v>120</v>
      </c>
      <c r="C5" s="187">
        <v>129.7</v>
      </c>
      <c r="D5" s="187"/>
      <c r="E5" s="187">
        <v>76</v>
      </c>
      <c r="F5" s="187"/>
      <c r="G5" s="187">
        <v>48</v>
      </c>
      <c r="H5" s="187"/>
      <c r="I5" s="19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ht="15.75" customHeight="1">
      <c r="A6" s="62"/>
      <c r="B6" s="65" t="s">
        <v>100</v>
      </c>
      <c r="C6" s="118"/>
      <c r="D6" s="118"/>
      <c r="E6" s="187"/>
      <c r="F6" s="118"/>
      <c r="G6" s="118"/>
      <c r="H6" s="118"/>
      <c r="I6" s="191"/>
      <c r="J6" s="17"/>
      <c r="K6" s="17"/>
      <c r="L6" s="3"/>
      <c r="M6" s="3"/>
      <c r="N6" s="5"/>
      <c r="O6" s="3"/>
      <c r="P6" s="3"/>
      <c r="Q6" s="17"/>
      <c r="R6" s="17"/>
      <c r="S6" s="5"/>
      <c r="T6" s="17"/>
      <c r="U6" s="17"/>
      <c r="V6" s="3"/>
      <c r="W6" s="3"/>
      <c r="X6" s="5"/>
      <c r="Y6" s="3"/>
      <c r="Z6" s="3"/>
      <c r="AA6" s="17"/>
      <c r="AB6" s="17"/>
      <c r="AC6" s="5"/>
      <c r="AD6" s="17"/>
      <c r="AE6" s="17"/>
      <c r="AF6" s="3"/>
      <c r="AG6" s="3"/>
      <c r="AH6" s="5"/>
      <c r="AI6" s="3"/>
      <c r="AJ6" s="3"/>
      <c r="AK6" s="17"/>
      <c r="AL6" s="17"/>
      <c r="AM6" s="5"/>
      <c r="AN6" s="17"/>
      <c r="AO6" s="17"/>
      <c r="AP6" s="3"/>
      <c r="AQ6" s="3"/>
      <c r="AR6" s="5"/>
      <c r="AS6" s="3"/>
      <c r="AT6" s="3"/>
    </row>
    <row r="7" spans="1:46" ht="15.75" customHeight="1">
      <c r="A7" s="62">
        <v>1</v>
      </c>
      <c r="B7" s="66" t="s">
        <v>0</v>
      </c>
      <c r="C7" s="187">
        <v>117</v>
      </c>
      <c r="D7" s="187">
        <v>118.32925036746693</v>
      </c>
      <c r="E7" s="187">
        <v>68</v>
      </c>
      <c r="F7" s="187">
        <v>68.65752082312592</v>
      </c>
      <c r="G7" s="187">
        <v>46</v>
      </c>
      <c r="H7" s="187">
        <v>45.051445369916706</v>
      </c>
      <c r="I7" s="19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ht="15.75" customHeight="1">
      <c r="A8" s="62">
        <v>2</v>
      </c>
      <c r="B8" s="66" t="s">
        <v>16</v>
      </c>
      <c r="C8" s="187">
        <v>160</v>
      </c>
      <c r="D8" s="187">
        <v>143.63350785340313</v>
      </c>
      <c r="E8" s="187">
        <v>87</v>
      </c>
      <c r="F8" s="187">
        <v>71.53926701570681</v>
      </c>
      <c r="G8" s="187">
        <v>51</v>
      </c>
      <c r="H8" s="187">
        <v>45.55730075625364</v>
      </c>
      <c r="I8" s="19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ht="15.75" customHeight="1">
      <c r="A9" s="62">
        <v>3</v>
      </c>
      <c r="B9" s="66" t="s">
        <v>17</v>
      </c>
      <c r="C9" s="118">
        <v>156</v>
      </c>
      <c r="D9" s="118">
        <v>151.3048829431438</v>
      </c>
      <c r="E9" s="118">
        <v>82</v>
      </c>
      <c r="F9" s="118">
        <v>81.4403210702341</v>
      </c>
      <c r="G9" s="118">
        <v>50</v>
      </c>
      <c r="H9" s="118">
        <v>42.388548494983276</v>
      </c>
      <c r="I9" s="191"/>
      <c r="J9" s="17"/>
      <c r="K9" s="17"/>
      <c r="L9" s="3"/>
      <c r="M9" s="3"/>
      <c r="N9" s="5"/>
      <c r="O9" s="3"/>
      <c r="P9" s="3"/>
      <c r="Q9" s="17"/>
      <c r="R9" s="17"/>
      <c r="S9" s="5"/>
      <c r="T9" s="17"/>
      <c r="U9" s="17"/>
      <c r="V9" s="3"/>
      <c r="W9" s="3"/>
      <c r="X9" s="5"/>
      <c r="Y9" s="3"/>
      <c r="Z9" s="3"/>
      <c r="AA9" s="17"/>
      <c r="AB9" s="17"/>
      <c r="AC9" s="5"/>
      <c r="AD9" s="17"/>
      <c r="AE9" s="17"/>
      <c r="AF9" s="3"/>
      <c r="AG9" s="3"/>
      <c r="AH9" s="5"/>
      <c r="AI9" s="3"/>
      <c r="AJ9" s="3"/>
      <c r="AK9" s="17"/>
      <c r="AL9" s="17"/>
      <c r="AM9" s="5"/>
      <c r="AN9" s="17"/>
      <c r="AO9" s="17"/>
      <c r="AP9" s="3"/>
      <c r="AQ9" s="3"/>
      <c r="AR9" s="5"/>
      <c r="AS9" s="3"/>
      <c r="AT9" s="3"/>
    </row>
    <row r="10" spans="1:46" ht="15.75" customHeight="1">
      <c r="A10" s="130">
        <v>4</v>
      </c>
      <c r="B10" s="131" t="s">
        <v>18</v>
      </c>
      <c r="C10" s="187">
        <v>129</v>
      </c>
      <c r="D10" s="187"/>
      <c r="E10" s="187">
        <v>75</v>
      </c>
      <c r="F10" s="187"/>
      <c r="G10" s="187">
        <v>50</v>
      </c>
      <c r="H10" s="187"/>
      <c r="I10" s="19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15.75" customHeight="1">
      <c r="A11" s="62">
        <v>5</v>
      </c>
      <c r="B11" s="66" t="s">
        <v>19</v>
      </c>
      <c r="C11" s="187">
        <v>129</v>
      </c>
      <c r="D11" s="187">
        <v>152.35311643427482</v>
      </c>
      <c r="E11" s="187">
        <v>75</v>
      </c>
      <c r="F11" s="187">
        <v>81.56655940889048</v>
      </c>
      <c r="G11" s="187">
        <v>50</v>
      </c>
      <c r="H11" s="187">
        <v>46.029078774877846</v>
      </c>
      <c r="I11" s="19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5.75" customHeight="1">
      <c r="A12" s="62">
        <v>6</v>
      </c>
      <c r="B12" s="66" t="s">
        <v>20</v>
      </c>
      <c r="C12" s="187">
        <v>149</v>
      </c>
      <c r="D12" s="187">
        <v>152.26271186440678</v>
      </c>
      <c r="E12" s="187">
        <v>75</v>
      </c>
      <c r="F12" s="187">
        <v>85.4322033898305</v>
      </c>
      <c r="G12" s="187">
        <v>42</v>
      </c>
      <c r="H12" s="187">
        <v>48.152542372881356</v>
      </c>
      <c r="I12" s="19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15.75" customHeight="1">
      <c r="A13" s="62">
        <v>7</v>
      </c>
      <c r="B13" s="66" t="s">
        <v>21</v>
      </c>
      <c r="C13" s="187">
        <v>161</v>
      </c>
      <c r="D13" s="187">
        <v>160.3421153951928</v>
      </c>
      <c r="E13" s="187">
        <v>81</v>
      </c>
      <c r="F13" s="187">
        <v>78.3504757714097</v>
      </c>
      <c r="G13" s="187">
        <v>50</v>
      </c>
      <c r="H13" s="187">
        <v>47.648644188988506</v>
      </c>
      <c r="I13" s="19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5.75" customHeight="1">
      <c r="A14" s="130">
        <v>8</v>
      </c>
      <c r="B14" s="131" t="s">
        <v>22</v>
      </c>
      <c r="C14" s="118">
        <v>129</v>
      </c>
      <c r="D14" s="118">
        <v>132.92090250295524</v>
      </c>
      <c r="E14" s="118">
        <v>75</v>
      </c>
      <c r="F14" s="118">
        <v>77.87695944904148</v>
      </c>
      <c r="G14" s="181">
        <v>50</v>
      </c>
      <c r="H14" s="181">
        <v>51.0695893508763</v>
      </c>
      <c r="I14" s="191"/>
      <c r="J14" s="18"/>
      <c r="K14" s="18"/>
      <c r="L14" s="3"/>
      <c r="M14" s="3"/>
      <c r="N14" s="5"/>
      <c r="O14" s="3"/>
      <c r="P14" s="3"/>
      <c r="Q14" s="17"/>
      <c r="R14" s="17"/>
      <c r="S14" s="5"/>
      <c r="T14" s="17"/>
      <c r="U14" s="17"/>
      <c r="V14" s="3"/>
      <c r="W14" s="3"/>
      <c r="X14" s="5"/>
      <c r="Y14" s="3"/>
      <c r="Z14" s="3"/>
      <c r="AA14" s="17"/>
      <c r="AB14" s="17"/>
      <c r="AC14" s="5"/>
      <c r="AD14" s="17"/>
      <c r="AE14" s="17"/>
      <c r="AF14" s="3"/>
      <c r="AG14" s="3"/>
      <c r="AH14" s="5"/>
      <c r="AI14" s="3"/>
      <c r="AJ14" s="3"/>
      <c r="AK14" s="17"/>
      <c r="AL14" s="17"/>
      <c r="AM14" s="5"/>
      <c r="AN14" s="17"/>
      <c r="AO14" s="17"/>
      <c r="AP14" s="3"/>
      <c r="AQ14" s="3"/>
      <c r="AR14" s="5"/>
      <c r="AS14" s="3"/>
      <c r="AT14" s="3"/>
    </row>
    <row r="15" spans="1:46" ht="15.75" customHeight="1">
      <c r="A15" s="62">
        <v>9</v>
      </c>
      <c r="B15" s="66" t="s">
        <v>23</v>
      </c>
      <c r="C15" s="187">
        <v>131</v>
      </c>
      <c r="D15" s="187">
        <v>130</v>
      </c>
      <c r="E15" s="187">
        <v>68</v>
      </c>
      <c r="F15" s="187">
        <v>72</v>
      </c>
      <c r="G15" s="187">
        <v>44</v>
      </c>
      <c r="H15" s="187"/>
      <c r="I15" s="19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15.75" customHeight="1">
      <c r="A16" s="130">
        <v>10</v>
      </c>
      <c r="B16" s="131" t="s">
        <v>24</v>
      </c>
      <c r="C16" s="187">
        <v>129.7</v>
      </c>
      <c r="D16" s="187">
        <v>128</v>
      </c>
      <c r="E16" s="187">
        <v>75</v>
      </c>
      <c r="F16" s="187">
        <v>83.37352762598664</v>
      </c>
      <c r="G16" s="187">
        <v>50</v>
      </c>
      <c r="H16" s="187">
        <v>50.12917425622343</v>
      </c>
      <c r="I16" s="19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15.75" customHeight="1">
      <c r="A17" s="62">
        <v>11</v>
      </c>
      <c r="B17" s="66" t="s">
        <v>25</v>
      </c>
      <c r="C17" s="188">
        <v>147</v>
      </c>
      <c r="D17" s="188">
        <v>149.26220797547083</v>
      </c>
      <c r="E17" s="189">
        <v>76</v>
      </c>
      <c r="F17" s="189">
        <v>82.01889630261958</v>
      </c>
      <c r="G17" s="189">
        <v>42</v>
      </c>
      <c r="H17" s="189">
        <v>44.129312497459395</v>
      </c>
      <c r="I17" s="191"/>
      <c r="J17" s="7"/>
      <c r="K17" s="7"/>
      <c r="L17" s="5"/>
      <c r="M17" s="5"/>
      <c r="N17" s="5"/>
      <c r="O17" s="5"/>
      <c r="P17" s="5"/>
      <c r="Q17" s="7"/>
      <c r="R17" s="7"/>
      <c r="S17" s="5"/>
      <c r="T17" s="7"/>
      <c r="U17" s="7"/>
      <c r="V17" s="5"/>
      <c r="W17" s="5"/>
      <c r="X17" s="5"/>
      <c r="Y17" s="5"/>
      <c r="Z17" s="5"/>
      <c r="AA17" s="7"/>
      <c r="AB17" s="7"/>
      <c r="AC17" s="5"/>
      <c r="AD17" s="7"/>
      <c r="AE17" s="7"/>
      <c r="AF17" s="5"/>
      <c r="AG17" s="5"/>
      <c r="AH17" s="5"/>
      <c r="AI17" s="5"/>
      <c r="AJ17" s="5"/>
      <c r="AK17" s="7"/>
      <c r="AL17" s="7"/>
      <c r="AM17" s="5"/>
      <c r="AN17" s="7"/>
      <c r="AO17" s="7"/>
      <c r="AP17" s="5"/>
      <c r="AQ17" s="5"/>
      <c r="AR17" s="5"/>
      <c r="AS17" s="5"/>
      <c r="AT17" s="5"/>
    </row>
    <row r="18" spans="1:46" ht="15.75" customHeight="1">
      <c r="A18" s="62">
        <v>12</v>
      </c>
      <c r="B18" s="66" t="s">
        <v>26</v>
      </c>
      <c r="C18" s="187">
        <v>129</v>
      </c>
      <c r="D18" s="187">
        <v>136.8382069441344</v>
      </c>
      <c r="E18" s="187">
        <v>76</v>
      </c>
      <c r="F18" s="187">
        <v>70.65382820268269</v>
      </c>
      <c r="G18" s="187">
        <v>50</v>
      </c>
      <c r="H18" s="187">
        <v>39.24592625662047</v>
      </c>
      <c r="I18" s="19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15.75" customHeight="1">
      <c r="A19" s="62">
        <v>13</v>
      </c>
      <c r="B19" s="66" t="s">
        <v>27</v>
      </c>
      <c r="C19" s="187">
        <v>129</v>
      </c>
      <c r="D19" s="187">
        <v>124.11235955056179</v>
      </c>
      <c r="E19" s="187">
        <v>75</v>
      </c>
      <c r="F19" s="187">
        <v>75.93258426966291</v>
      </c>
      <c r="G19" s="187">
        <v>50</v>
      </c>
      <c r="H19" s="187">
        <v>40.48314606741573</v>
      </c>
      <c r="I19" s="19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15.75" customHeight="1">
      <c r="A20" s="62">
        <v>14</v>
      </c>
      <c r="B20" s="66" t="s">
        <v>28</v>
      </c>
      <c r="C20" s="187">
        <v>156</v>
      </c>
      <c r="D20" s="187">
        <v>163.61934587581533</v>
      </c>
      <c r="E20" s="187">
        <v>72</v>
      </c>
      <c r="F20" s="187">
        <v>78.05104900044739</v>
      </c>
      <c r="G20" s="187">
        <v>39</v>
      </c>
      <c r="H20" s="187">
        <v>46.145423720831666</v>
      </c>
      <c r="I20" s="19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15.75" customHeight="1">
      <c r="A21" s="62">
        <v>15</v>
      </c>
      <c r="B21" s="66" t="s">
        <v>29</v>
      </c>
      <c r="C21" s="118">
        <v>129</v>
      </c>
      <c r="D21" s="118">
        <v>134.82419595086455</v>
      </c>
      <c r="E21" s="118">
        <v>75</v>
      </c>
      <c r="F21" s="118">
        <v>78.73111041878794</v>
      </c>
      <c r="G21" s="182">
        <v>50</v>
      </c>
      <c r="H21" s="182">
        <v>40.76610857432775</v>
      </c>
      <c r="I21" s="191"/>
      <c r="J21" s="4"/>
      <c r="K21" s="6"/>
      <c r="L21" s="5"/>
      <c r="M21" s="5"/>
      <c r="N21" s="5"/>
      <c r="O21" s="5"/>
      <c r="P21" s="5"/>
      <c r="Q21" s="4"/>
      <c r="R21" s="4"/>
      <c r="S21" s="5"/>
      <c r="T21" s="4"/>
      <c r="U21" s="6"/>
      <c r="V21" s="5"/>
      <c r="W21" s="5"/>
      <c r="X21" s="5"/>
      <c r="Y21" s="5"/>
      <c r="Z21" s="5"/>
      <c r="AA21" s="4"/>
      <c r="AB21" s="4"/>
      <c r="AC21" s="5"/>
      <c r="AD21" s="4"/>
      <c r="AE21" s="6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15.75" customHeight="1">
      <c r="A22" s="62">
        <v>16</v>
      </c>
      <c r="B22" s="66" t="s">
        <v>30</v>
      </c>
      <c r="C22" s="187">
        <v>134</v>
      </c>
      <c r="D22" s="187">
        <v>138.42985103223643</v>
      </c>
      <c r="E22" s="187">
        <v>70</v>
      </c>
      <c r="F22" s="187">
        <v>76.1603678689467</v>
      </c>
      <c r="G22" s="187">
        <v>43</v>
      </c>
      <c r="H22" s="187">
        <v>46.462614360300805</v>
      </c>
      <c r="I22" s="19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15.75" customHeight="1">
      <c r="A23" s="130">
        <v>17</v>
      </c>
      <c r="B23" s="131" t="s">
        <v>31</v>
      </c>
      <c r="C23" s="192">
        <v>129</v>
      </c>
      <c r="D23" s="192">
        <v>120.04545894187059</v>
      </c>
      <c r="E23" s="118">
        <v>75</v>
      </c>
      <c r="F23" s="192">
        <v>77.70093819518328</v>
      </c>
      <c r="G23" s="193">
        <v>50</v>
      </c>
      <c r="H23" s="193">
        <v>39.960344327304384</v>
      </c>
      <c r="I23" s="191"/>
      <c r="J23" s="10"/>
      <c r="K23" s="9"/>
      <c r="L23" s="11"/>
      <c r="M23" s="11"/>
      <c r="N23" s="5"/>
      <c r="O23" s="11"/>
      <c r="P23" s="11"/>
      <c r="Q23" s="9"/>
      <c r="R23" s="9"/>
      <c r="S23" s="5"/>
      <c r="T23" s="10"/>
      <c r="U23" s="9"/>
      <c r="V23" s="11"/>
      <c r="W23" s="11"/>
      <c r="X23" s="5"/>
      <c r="Y23" s="11"/>
      <c r="Z23" s="11"/>
      <c r="AA23" s="9"/>
      <c r="AB23" s="9"/>
      <c r="AC23" s="5"/>
      <c r="AD23" s="10"/>
      <c r="AE23" s="9"/>
      <c r="AF23" s="11"/>
      <c r="AG23" s="11"/>
      <c r="AH23" s="5"/>
      <c r="AI23" s="11"/>
      <c r="AJ23" s="11"/>
      <c r="AK23" s="12"/>
      <c r="AL23" s="12"/>
      <c r="AM23" s="5"/>
      <c r="AN23" s="13"/>
      <c r="AO23" s="12"/>
      <c r="AP23" s="14"/>
      <c r="AQ23" s="14"/>
      <c r="AR23" s="5"/>
      <c r="AS23" s="14"/>
      <c r="AT23" s="14"/>
    </row>
    <row r="24" spans="1:46" ht="15.75" customHeight="1">
      <c r="A24" s="62">
        <v>18</v>
      </c>
      <c r="B24" s="66" t="s">
        <v>32</v>
      </c>
      <c r="C24" s="187">
        <v>129</v>
      </c>
      <c r="D24" s="187">
        <v>129.12985624850032</v>
      </c>
      <c r="E24" s="187">
        <v>89</v>
      </c>
      <c r="F24" s="187">
        <v>94.80618633161006</v>
      </c>
      <c r="G24" s="187">
        <v>50</v>
      </c>
      <c r="H24" s="187">
        <v>54.848068407390436</v>
      </c>
      <c r="I24" s="191"/>
      <c r="J24" s="5"/>
      <c r="K24" s="5"/>
      <c r="L24" s="5"/>
      <c r="M24" s="5"/>
      <c r="N24" s="5"/>
      <c r="O24" s="5"/>
      <c r="P24" s="5"/>
      <c r="Q24" s="5"/>
      <c r="R24" s="5"/>
      <c r="S24" s="16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15.75" customHeight="1">
      <c r="A25" s="62"/>
      <c r="B25" s="67" t="s">
        <v>101</v>
      </c>
      <c r="C25" s="187"/>
      <c r="D25" s="187"/>
      <c r="E25" s="187"/>
      <c r="F25" s="187"/>
      <c r="G25" s="187"/>
      <c r="H25" s="187"/>
      <c r="I25" s="19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15.75" customHeight="1">
      <c r="A26" s="62">
        <v>19</v>
      </c>
      <c r="B26" s="66" t="s">
        <v>35</v>
      </c>
      <c r="C26" s="187">
        <v>158</v>
      </c>
      <c r="D26" s="187">
        <v>154.17223571095278</v>
      </c>
      <c r="E26" s="187">
        <v>84</v>
      </c>
      <c r="F26" s="187">
        <v>84.5202976835412</v>
      </c>
      <c r="G26" s="187">
        <v>48</v>
      </c>
      <c r="H26" s="187">
        <v>42.703036150676596</v>
      </c>
      <c r="I26" s="19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15.75" customHeight="1">
      <c r="A27" s="62">
        <v>20</v>
      </c>
      <c r="B27" s="66" t="s">
        <v>36</v>
      </c>
      <c r="C27" s="183">
        <v>129</v>
      </c>
      <c r="D27" s="183">
        <v>137.08392776271057</v>
      </c>
      <c r="E27" s="183">
        <v>75</v>
      </c>
      <c r="F27" s="183">
        <v>76.21676161078729</v>
      </c>
      <c r="G27" s="118">
        <v>50</v>
      </c>
      <c r="H27" s="118">
        <v>43.20631360626053</v>
      </c>
      <c r="I27" s="191"/>
      <c r="J27" s="8"/>
      <c r="K27" s="8"/>
      <c r="L27" s="19"/>
      <c r="M27" s="19"/>
      <c r="N27" s="5"/>
      <c r="O27" s="19"/>
      <c r="P27" s="19"/>
      <c r="Q27" s="8"/>
      <c r="R27" s="8"/>
      <c r="S27" s="5"/>
      <c r="T27" s="8"/>
      <c r="U27" s="8"/>
      <c r="V27" s="8"/>
      <c r="W27" s="8"/>
      <c r="X27" s="5"/>
      <c r="Y27" s="8"/>
      <c r="Z27" s="8"/>
      <c r="AA27" s="8"/>
      <c r="AB27" s="8"/>
      <c r="AC27" s="5"/>
      <c r="AD27" s="8"/>
      <c r="AE27" s="8"/>
      <c r="AF27" s="8"/>
      <c r="AG27" s="8"/>
      <c r="AH27" s="5"/>
      <c r="AI27" s="8"/>
      <c r="AJ27" s="8"/>
      <c r="AK27" s="8"/>
      <c r="AL27" s="8"/>
      <c r="AM27" s="5"/>
      <c r="AN27" s="8"/>
      <c r="AO27" s="8"/>
      <c r="AP27" s="20"/>
      <c r="AQ27" s="20"/>
      <c r="AR27" s="5"/>
      <c r="AS27" s="20"/>
      <c r="AT27" s="20"/>
    </row>
    <row r="28" spans="1:46" ht="15.75" customHeight="1">
      <c r="A28" s="62">
        <v>21</v>
      </c>
      <c r="B28" s="66" t="s">
        <v>37</v>
      </c>
      <c r="C28" s="118">
        <v>129</v>
      </c>
      <c r="D28" s="118">
        <v>155.85443336765925</v>
      </c>
      <c r="E28" s="118">
        <v>75</v>
      </c>
      <c r="F28" s="118">
        <v>82.24818671403233</v>
      </c>
      <c r="G28" s="181">
        <v>50</v>
      </c>
      <c r="H28" s="181">
        <v>43.00046185067121</v>
      </c>
      <c r="I28" s="191"/>
      <c r="J28" s="18"/>
      <c r="K28" s="18"/>
      <c r="L28" s="3"/>
      <c r="M28" s="3"/>
      <c r="N28" s="5"/>
      <c r="O28" s="3"/>
      <c r="P28" s="3"/>
      <c r="Q28" s="17"/>
      <c r="R28" s="17"/>
      <c r="S28" s="5"/>
      <c r="T28" s="17"/>
      <c r="U28" s="17"/>
      <c r="V28" s="3"/>
      <c r="W28" s="3"/>
      <c r="X28" s="5"/>
      <c r="Y28" s="3"/>
      <c r="Z28" s="3"/>
      <c r="AA28" s="17"/>
      <c r="AB28" s="17"/>
      <c r="AC28" s="5"/>
      <c r="AD28" s="17"/>
      <c r="AE28" s="17"/>
      <c r="AF28" s="3"/>
      <c r="AG28" s="3"/>
      <c r="AH28" s="5"/>
      <c r="AI28" s="3"/>
      <c r="AJ28" s="3"/>
      <c r="AK28" s="17"/>
      <c r="AL28" s="17"/>
      <c r="AM28" s="5"/>
      <c r="AN28" s="17"/>
      <c r="AO28" s="17"/>
      <c r="AP28" s="3"/>
      <c r="AQ28" s="3"/>
      <c r="AR28" s="5"/>
      <c r="AS28" s="3"/>
      <c r="AT28" s="3"/>
    </row>
    <row r="29" spans="1:46" ht="15.75" customHeight="1">
      <c r="A29" s="62">
        <v>22</v>
      </c>
      <c r="B29" s="66" t="s">
        <v>38</v>
      </c>
      <c r="C29" s="187">
        <v>172</v>
      </c>
      <c r="D29" s="187">
        <v>166.1244450610433</v>
      </c>
      <c r="E29" s="187">
        <v>105</v>
      </c>
      <c r="F29" s="187">
        <v>100.95033296337404</v>
      </c>
      <c r="G29" s="187">
        <v>57</v>
      </c>
      <c r="H29" s="187">
        <v>50.960738068812425</v>
      </c>
      <c r="I29" s="19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15.75" customHeight="1">
      <c r="A30" s="62">
        <v>23</v>
      </c>
      <c r="B30" s="66" t="s">
        <v>39</v>
      </c>
      <c r="C30" s="187">
        <v>116</v>
      </c>
      <c r="D30" s="187">
        <v>121.65132288297255</v>
      </c>
      <c r="E30" s="187">
        <v>61</v>
      </c>
      <c r="F30" s="187">
        <v>60.57476984324459</v>
      </c>
      <c r="G30" s="187">
        <v>28</v>
      </c>
      <c r="H30" s="187">
        <v>30.8202703823505</v>
      </c>
      <c r="I30" s="19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15.75" customHeight="1">
      <c r="A31" s="62">
        <v>24</v>
      </c>
      <c r="B31" s="66" t="s">
        <v>40</v>
      </c>
      <c r="C31" s="187">
        <v>153</v>
      </c>
      <c r="D31" s="187">
        <v>183.96278555637434</v>
      </c>
      <c r="E31" s="187">
        <v>92</v>
      </c>
      <c r="F31" s="187">
        <v>109.66285924834193</v>
      </c>
      <c r="G31" s="187">
        <v>60</v>
      </c>
      <c r="H31" s="187">
        <v>63.05729550478998</v>
      </c>
      <c r="I31" s="19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ht="15.75" customHeight="1">
      <c r="A32" s="130">
        <v>25</v>
      </c>
      <c r="B32" s="131" t="s">
        <v>41</v>
      </c>
      <c r="C32" s="187">
        <v>129</v>
      </c>
      <c r="D32" s="187">
        <v>134.94715689193214</v>
      </c>
      <c r="E32" s="187">
        <v>82</v>
      </c>
      <c r="F32" s="187">
        <v>85.75096754986603</v>
      </c>
      <c r="G32" s="187">
        <v>46</v>
      </c>
      <c r="H32" s="187">
        <v>50.01488538255433</v>
      </c>
      <c r="I32" s="19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ht="15.75" customHeight="1">
      <c r="A33" s="62">
        <v>26</v>
      </c>
      <c r="B33" s="66" t="s">
        <v>42</v>
      </c>
      <c r="C33" s="187">
        <v>131</v>
      </c>
      <c r="D33" s="187">
        <v>143.23626867348085</v>
      </c>
      <c r="E33" s="187">
        <v>75</v>
      </c>
      <c r="F33" s="187">
        <v>76.63765023025947</v>
      </c>
      <c r="G33" s="187">
        <v>50</v>
      </c>
      <c r="H33" s="187">
        <v>42.098730764910705</v>
      </c>
      <c r="I33" s="19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ht="15.75" customHeight="1">
      <c r="A34" s="62">
        <v>27</v>
      </c>
      <c r="B34" s="66" t="s">
        <v>43</v>
      </c>
      <c r="C34" s="187">
        <v>129</v>
      </c>
      <c r="D34" s="187">
        <v>171.64776488655667</v>
      </c>
      <c r="E34" s="187">
        <v>75</v>
      </c>
      <c r="F34" s="187">
        <v>93.01810475698358</v>
      </c>
      <c r="G34" s="187">
        <v>50</v>
      </c>
      <c r="H34" s="187">
        <v>45.089885448696606</v>
      </c>
      <c r="I34" s="19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ht="15.75" customHeight="1">
      <c r="A35" s="62">
        <v>28</v>
      </c>
      <c r="B35" s="66" t="s">
        <v>44</v>
      </c>
      <c r="C35" s="187">
        <v>152</v>
      </c>
      <c r="D35" s="187">
        <v>151.10347271438695</v>
      </c>
      <c r="E35" s="187">
        <v>86</v>
      </c>
      <c r="F35" s="187">
        <v>80.85268131348926</v>
      </c>
      <c r="G35" s="187">
        <v>52</v>
      </c>
      <c r="H35" s="187">
        <v>52.36498936924166</v>
      </c>
      <c r="I35" s="19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ht="15.75" customHeight="1">
      <c r="A36" s="62">
        <v>29</v>
      </c>
      <c r="B36" s="66" t="s">
        <v>45</v>
      </c>
      <c r="C36" s="187">
        <v>129</v>
      </c>
      <c r="D36" s="187">
        <v>113.47948183712293</v>
      </c>
      <c r="E36" s="187">
        <v>80</v>
      </c>
      <c r="F36" s="187">
        <v>81.90657366307335</v>
      </c>
      <c r="G36" s="187">
        <v>50</v>
      </c>
      <c r="H36" s="187">
        <v>51.60491590421837</v>
      </c>
      <c r="I36" s="19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ht="15.75" customHeight="1">
      <c r="A37" s="62"/>
      <c r="B37" s="67" t="s">
        <v>102</v>
      </c>
      <c r="C37" s="187"/>
      <c r="D37" s="187"/>
      <c r="E37" s="187"/>
      <c r="F37" s="187"/>
      <c r="G37" s="187"/>
      <c r="H37" s="187"/>
      <c r="I37" s="19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ht="15.75" customHeight="1">
      <c r="A38" s="62" t="s">
        <v>104</v>
      </c>
      <c r="B38" s="66" t="s">
        <v>46</v>
      </c>
      <c r="C38" s="187">
        <v>129</v>
      </c>
      <c r="D38" s="187">
        <v>134.25136024719555</v>
      </c>
      <c r="E38" s="187">
        <v>75</v>
      </c>
      <c r="F38" s="187">
        <v>91.20709343722712</v>
      </c>
      <c r="G38" s="187">
        <v>50</v>
      </c>
      <c r="H38" s="187">
        <v>52.58279035400013</v>
      </c>
      <c r="I38" s="19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ht="15.75" customHeight="1">
      <c r="A39" s="130">
        <v>31</v>
      </c>
      <c r="B39" s="131" t="s">
        <v>47</v>
      </c>
      <c r="C39" s="187">
        <v>129</v>
      </c>
      <c r="D39" s="187"/>
      <c r="E39" s="187">
        <v>75</v>
      </c>
      <c r="F39" s="187"/>
      <c r="G39" s="187">
        <v>50</v>
      </c>
      <c r="H39" s="187"/>
      <c r="I39" s="19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ht="15.75" customHeight="1">
      <c r="A40" s="62">
        <v>32</v>
      </c>
      <c r="B40" s="66" t="s">
        <v>48</v>
      </c>
      <c r="C40" s="187">
        <v>129</v>
      </c>
      <c r="D40" s="187">
        <v>101.66382737081203</v>
      </c>
      <c r="E40" s="187">
        <v>75</v>
      </c>
      <c r="F40" s="187">
        <v>62.60079500283929</v>
      </c>
      <c r="G40" s="187">
        <v>50</v>
      </c>
      <c r="H40" s="187">
        <v>47.4389551391255</v>
      </c>
      <c r="I40" s="19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ht="15.75" customHeight="1">
      <c r="A41" s="62">
        <v>33</v>
      </c>
      <c r="B41" s="66" t="s">
        <v>49</v>
      </c>
      <c r="C41" s="187">
        <v>129</v>
      </c>
      <c r="D41" s="187">
        <v>119.33681789153228</v>
      </c>
      <c r="E41" s="187">
        <v>75</v>
      </c>
      <c r="F41" s="187">
        <v>65.43777087479772</v>
      </c>
      <c r="G41" s="187">
        <v>50</v>
      </c>
      <c r="H41" s="187">
        <v>48.03978100605767</v>
      </c>
      <c r="I41" s="19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ht="15.75" customHeight="1">
      <c r="A42" s="62">
        <v>34</v>
      </c>
      <c r="B42" s="66" t="s">
        <v>50</v>
      </c>
      <c r="C42" s="118">
        <v>129</v>
      </c>
      <c r="D42" s="118">
        <v>101.54860062710486</v>
      </c>
      <c r="E42" s="118">
        <v>75</v>
      </c>
      <c r="F42" s="118">
        <v>72.94739286958541</v>
      </c>
      <c r="G42" s="181">
        <v>50</v>
      </c>
      <c r="H42" s="181">
        <v>44.18940889559865</v>
      </c>
      <c r="I42" s="191"/>
      <c r="J42" s="27"/>
      <c r="K42" s="27"/>
      <c r="L42" s="27"/>
      <c r="M42" s="27"/>
      <c r="N42" s="5"/>
      <c r="O42" s="28"/>
      <c r="P42" s="27"/>
      <c r="Q42" s="29"/>
      <c r="R42" s="29"/>
      <c r="S42" s="5"/>
      <c r="T42" s="29"/>
      <c r="U42" s="29"/>
      <c r="V42" s="30"/>
      <c r="W42" s="30"/>
      <c r="X42" s="5"/>
      <c r="Y42" s="30"/>
      <c r="Z42" s="30"/>
      <c r="AA42" s="31"/>
      <c r="AB42" s="31"/>
      <c r="AC42" s="5"/>
      <c r="AD42" s="31"/>
      <c r="AE42" s="31"/>
      <c r="AF42" s="30"/>
      <c r="AG42" s="30"/>
      <c r="AH42" s="5"/>
      <c r="AI42" s="30"/>
      <c r="AJ42" s="30"/>
      <c r="AK42" s="31"/>
      <c r="AL42" s="31"/>
      <c r="AM42" s="5"/>
      <c r="AN42" s="31"/>
      <c r="AO42" s="31"/>
      <c r="AP42" s="30"/>
      <c r="AQ42" s="30"/>
      <c r="AR42" s="5"/>
      <c r="AS42" s="30"/>
      <c r="AT42" s="30"/>
    </row>
    <row r="43" spans="1:46" ht="15.75" customHeight="1">
      <c r="A43" s="62">
        <v>35</v>
      </c>
      <c r="B43" s="66" t="s">
        <v>51</v>
      </c>
      <c r="C43" s="187">
        <v>129</v>
      </c>
      <c r="D43" s="187">
        <v>104.75243147656941</v>
      </c>
      <c r="E43" s="187">
        <v>75</v>
      </c>
      <c r="F43" s="187">
        <v>63.53890362511052</v>
      </c>
      <c r="G43" s="187">
        <v>50</v>
      </c>
      <c r="H43" s="187">
        <v>37.008178603006186</v>
      </c>
      <c r="I43" s="19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ht="15.75" customHeight="1">
      <c r="A44" s="62">
        <v>36</v>
      </c>
      <c r="B44" s="66" t="s">
        <v>52</v>
      </c>
      <c r="C44" s="187">
        <v>129</v>
      </c>
      <c r="D44" s="187">
        <v>129.34326710816777</v>
      </c>
      <c r="E44" s="187">
        <v>75</v>
      </c>
      <c r="F44" s="187">
        <v>77.22406181015452</v>
      </c>
      <c r="G44" s="187">
        <v>50</v>
      </c>
      <c r="H44" s="187">
        <v>50</v>
      </c>
      <c r="I44" s="19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ht="15.75" customHeight="1">
      <c r="A45" s="62"/>
      <c r="B45" s="65" t="s">
        <v>106</v>
      </c>
      <c r="C45" s="187"/>
      <c r="D45" s="187"/>
      <c r="E45" s="187"/>
      <c r="F45" s="187"/>
      <c r="G45" s="187"/>
      <c r="H45" s="187"/>
      <c r="I45" s="19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46" ht="15.75" customHeight="1">
      <c r="A46" s="62">
        <v>37</v>
      </c>
      <c r="B46" s="66" t="s">
        <v>53</v>
      </c>
      <c r="C46" s="187">
        <v>129</v>
      </c>
      <c r="D46" s="187">
        <v>136.66023485307898</v>
      </c>
      <c r="E46" s="187">
        <v>75</v>
      </c>
      <c r="F46" s="187">
        <v>71.58443133579581</v>
      </c>
      <c r="G46" s="187">
        <v>50</v>
      </c>
      <c r="H46" s="187">
        <v>47.57428744693753</v>
      </c>
      <c r="I46" s="19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6" ht="15.75" customHeight="1">
      <c r="A47" s="62">
        <v>38</v>
      </c>
      <c r="B47" s="66" t="s">
        <v>54</v>
      </c>
      <c r="C47" s="187">
        <v>167</v>
      </c>
      <c r="D47" s="187">
        <v>144.02099954208614</v>
      </c>
      <c r="E47" s="187">
        <v>88</v>
      </c>
      <c r="F47" s="187">
        <v>83.00946140302223</v>
      </c>
      <c r="G47" s="187">
        <v>53</v>
      </c>
      <c r="H47" s="187">
        <v>50.61753874531606</v>
      </c>
      <c r="I47" s="19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46" ht="15.75" customHeight="1">
      <c r="A48" s="62">
        <v>39</v>
      </c>
      <c r="B48" s="66" t="s">
        <v>55</v>
      </c>
      <c r="C48" s="187">
        <v>129</v>
      </c>
      <c r="D48" s="187">
        <v>119.98398868716357</v>
      </c>
      <c r="E48" s="187">
        <v>75</v>
      </c>
      <c r="F48" s="187">
        <v>77.58439011039138</v>
      </c>
      <c r="G48" s="187">
        <v>54</v>
      </c>
      <c r="H48" s="187">
        <v>55.005838883313565</v>
      </c>
      <c r="I48" s="19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 ht="15.75" customHeight="1">
      <c r="A49" s="62">
        <v>40</v>
      </c>
      <c r="B49" s="66" t="s">
        <v>56</v>
      </c>
      <c r="C49" s="187">
        <v>131</v>
      </c>
      <c r="D49" s="187">
        <v>132.64869059556864</v>
      </c>
      <c r="E49" s="187">
        <v>74</v>
      </c>
      <c r="F49" s="187">
        <v>70.12884922574565</v>
      </c>
      <c r="G49" s="187">
        <v>40</v>
      </c>
      <c r="H49" s="187">
        <v>38.70011942614979</v>
      </c>
      <c r="I49" s="19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46" ht="15.75" customHeight="1">
      <c r="A50" s="130">
        <v>41</v>
      </c>
      <c r="B50" s="131" t="s">
        <v>57</v>
      </c>
      <c r="C50" s="187">
        <v>139</v>
      </c>
      <c r="D50" s="187"/>
      <c r="E50" s="187">
        <v>76</v>
      </c>
      <c r="F50" s="187"/>
      <c r="G50" s="187">
        <v>50</v>
      </c>
      <c r="H50" s="187"/>
      <c r="I50" s="19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1:46" ht="15.75" customHeight="1">
      <c r="A51" s="62">
        <v>42</v>
      </c>
      <c r="B51" s="66" t="s">
        <v>58</v>
      </c>
      <c r="C51" s="187">
        <v>111</v>
      </c>
      <c r="D51" s="187">
        <v>118.52873865579376</v>
      </c>
      <c r="E51" s="187">
        <v>79</v>
      </c>
      <c r="F51" s="187">
        <v>78.5452584506116</v>
      </c>
      <c r="G51" s="187">
        <v>47</v>
      </c>
      <c r="H51" s="187">
        <v>49.703011968959615</v>
      </c>
      <c r="I51" s="19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ht="15.75" customHeight="1">
      <c r="A52" s="62"/>
      <c r="B52" s="67" t="s">
        <v>107</v>
      </c>
      <c r="C52" s="187"/>
      <c r="D52" s="187"/>
      <c r="E52" s="187"/>
      <c r="F52" s="187"/>
      <c r="G52" s="187"/>
      <c r="H52" s="187"/>
      <c r="I52" s="19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ht="15.75" customHeight="1">
      <c r="A53" s="62">
        <v>43</v>
      </c>
      <c r="B53" s="66" t="s">
        <v>59</v>
      </c>
      <c r="C53" s="187">
        <v>145</v>
      </c>
      <c r="D53" s="187">
        <v>161.55696447584938</v>
      </c>
      <c r="E53" s="187">
        <v>79</v>
      </c>
      <c r="F53" s="187">
        <v>83.25099215951988</v>
      </c>
      <c r="G53" s="187">
        <v>49</v>
      </c>
      <c r="H53" s="187">
        <v>49.190930210047426</v>
      </c>
      <c r="I53" s="19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ht="15.75" customHeight="1">
      <c r="A54" s="130">
        <v>44</v>
      </c>
      <c r="B54" s="131" t="s">
        <v>60</v>
      </c>
      <c r="C54" s="118">
        <v>139</v>
      </c>
      <c r="D54" s="118">
        <v>147.59102825517041</v>
      </c>
      <c r="E54" s="118">
        <v>75</v>
      </c>
      <c r="F54" s="118">
        <v>75.77628896009321</v>
      </c>
      <c r="G54" s="118">
        <v>50</v>
      </c>
      <c r="H54" s="118">
        <v>42.2604136323915</v>
      </c>
      <c r="I54" s="191"/>
      <c r="J54" s="21"/>
      <c r="K54" s="21"/>
      <c r="L54" s="3"/>
      <c r="M54" s="8"/>
      <c r="N54" s="5"/>
      <c r="O54" s="8"/>
      <c r="P54" s="8"/>
      <c r="Q54" s="21"/>
      <c r="R54" s="21"/>
      <c r="S54" s="5"/>
      <c r="T54" s="21"/>
      <c r="U54" s="21"/>
      <c r="V54" s="21"/>
      <c r="W54" s="21"/>
      <c r="X54" s="5"/>
      <c r="Y54" s="21"/>
      <c r="Z54" s="21"/>
      <c r="AA54" s="21"/>
      <c r="AB54" s="21"/>
      <c r="AC54" s="5"/>
      <c r="AD54" s="21"/>
      <c r="AE54" s="21"/>
      <c r="AF54" s="21"/>
      <c r="AG54" s="21"/>
      <c r="AH54" s="5"/>
      <c r="AI54" s="21"/>
      <c r="AJ54" s="21"/>
      <c r="AK54" s="21"/>
      <c r="AL54" s="21"/>
      <c r="AM54" s="5"/>
      <c r="AN54" s="21"/>
      <c r="AO54" s="21"/>
      <c r="AP54" s="21"/>
      <c r="AQ54" s="21"/>
      <c r="AR54" s="5"/>
      <c r="AS54" s="21"/>
      <c r="AT54" s="21"/>
    </row>
    <row r="55" spans="1:46" ht="15.75" customHeight="1">
      <c r="A55" s="62">
        <v>45</v>
      </c>
      <c r="B55" s="66" t="s">
        <v>61</v>
      </c>
      <c r="C55" s="187">
        <v>129</v>
      </c>
      <c r="D55" s="187">
        <v>145.80247681871927</v>
      </c>
      <c r="E55" s="187">
        <v>75</v>
      </c>
      <c r="F55" s="187">
        <v>84.64745783807331</v>
      </c>
      <c r="G55" s="187">
        <v>50</v>
      </c>
      <c r="H55" s="187">
        <v>53.544091107100634</v>
      </c>
      <c r="I55" s="191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ht="15.75" customHeight="1">
      <c r="A56" s="130">
        <v>46</v>
      </c>
      <c r="B56" s="131" t="s">
        <v>62</v>
      </c>
      <c r="C56" s="187">
        <v>99</v>
      </c>
      <c r="D56" s="187">
        <v>105.2088122605364</v>
      </c>
      <c r="E56" s="187">
        <v>65</v>
      </c>
      <c r="F56" s="187">
        <v>64.28007662835249</v>
      </c>
      <c r="G56" s="187">
        <v>45</v>
      </c>
      <c r="H56" s="187">
        <v>37.03026819923371</v>
      </c>
      <c r="I56" s="191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ht="15.75" customHeight="1">
      <c r="A57" s="130">
        <v>47</v>
      </c>
      <c r="B57" s="131" t="s">
        <v>63</v>
      </c>
      <c r="C57" s="187">
        <v>129</v>
      </c>
      <c r="D57" s="187">
        <v>120.55412762363804</v>
      </c>
      <c r="E57" s="187">
        <v>75</v>
      </c>
      <c r="F57" s="187">
        <v>69.61731879269914</v>
      </c>
      <c r="G57" s="187">
        <v>50</v>
      </c>
      <c r="H57" s="187">
        <v>40.51716446328987</v>
      </c>
      <c r="I57" s="19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ht="15.75" customHeight="1">
      <c r="A58" s="62">
        <v>48</v>
      </c>
      <c r="B58" s="66" t="s">
        <v>64</v>
      </c>
      <c r="C58" s="187">
        <v>129</v>
      </c>
      <c r="D58" s="187">
        <v>145.39011657908677</v>
      </c>
      <c r="E58" s="187">
        <v>75</v>
      </c>
      <c r="F58" s="187">
        <v>83.81948342199934</v>
      </c>
      <c r="G58" s="187">
        <v>50</v>
      </c>
      <c r="H58" s="187">
        <v>49.65916324563936</v>
      </c>
      <c r="I58" s="191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ht="15.75" customHeight="1">
      <c r="A59" s="130">
        <v>49</v>
      </c>
      <c r="B59" s="131" t="s">
        <v>65</v>
      </c>
      <c r="C59" s="187">
        <v>129</v>
      </c>
      <c r="D59" s="187">
        <v>137.84431974293898</v>
      </c>
      <c r="E59" s="187">
        <v>75</v>
      </c>
      <c r="F59" s="187">
        <v>75.9075139124968</v>
      </c>
      <c r="G59" s="187">
        <v>50</v>
      </c>
      <c r="H59" s="187">
        <v>38.186602090949314</v>
      </c>
      <c r="I59" s="19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16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ht="15.75" customHeight="1">
      <c r="A60" s="62">
        <v>50</v>
      </c>
      <c r="B60" s="66" t="s">
        <v>66</v>
      </c>
      <c r="C60" s="187">
        <v>173</v>
      </c>
      <c r="D60" s="187">
        <v>178.64189695955693</v>
      </c>
      <c r="E60" s="187">
        <v>89</v>
      </c>
      <c r="F60" s="187">
        <v>94.08065539721918</v>
      </c>
      <c r="G60" s="187">
        <v>51</v>
      </c>
      <c r="H60" s="187">
        <v>50.1990422892748</v>
      </c>
      <c r="I60" s="191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6" ht="15.75" customHeight="1">
      <c r="A61" s="130">
        <v>51</v>
      </c>
      <c r="B61" s="131" t="s">
        <v>67</v>
      </c>
      <c r="C61" s="187">
        <v>125</v>
      </c>
      <c r="D61" s="187">
        <v>133.44149184149185</v>
      </c>
      <c r="E61" s="187">
        <v>64</v>
      </c>
      <c r="F61" s="187">
        <v>74.4881118881119</v>
      </c>
      <c r="G61" s="187">
        <v>41</v>
      </c>
      <c r="H61" s="187">
        <v>42.966899766899765</v>
      </c>
      <c r="I61" s="191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46" ht="15.75" customHeight="1">
      <c r="A62" s="62">
        <v>52</v>
      </c>
      <c r="B62" s="66" t="s">
        <v>68</v>
      </c>
      <c r="C62" s="187">
        <v>103</v>
      </c>
      <c r="D62" s="187">
        <v>128.70665184457485</v>
      </c>
      <c r="E62" s="187">
        <v>63</v>
      </c>
      <c r="F62" s="187">
        <v>64.55381194901891</v>
      </c>
      <c r="G62" s="187">
        <v>37</v>
      </c>
      <c r="H62" s="187">
        <v>41.966029833768516</v>
      </c>
      <c r="I62" s="191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spans="1:46" ht="15.75" customHeight="1">
      <c r="A63" s="62">
        <v>53</v>
      </c>
      <c r="B63" s="66" t="s">
        <v>69</v>
      </c>
      <c r="C63" s="118">
        <v>129</v>
      </c>
      <c r="D63" s="118">
        <v>147.263726522245</v>
      </c>
      <c r="E63" s="118">
        <v>75</v>
      </c>
      <c r="F63" s="118">
        <v>77.26693999667572</v>
      </c>
      <c r="G63" s="118">
        <v>50</v>
      </c>
      <c r="H63" s="118">
        <v>46.069422128649784</v>
      </c>
      <c r="I63" s="191"/>
      <c r="J63" s="17"/>
      <c r="K63" s="17"/>
      <c r="L63" s="3"/>
      <c r="M63" s="3"/>
      <c r="N63" s="5"/>
      <c r="O63" s="3"/>
      <c r="P63" s="3"/>
      <c r="Q63" s="17"/>
      <c r="R63" s="17"/>
      <c r="S63" s="5"/>
      <c r="T63" s="17"/>
      <c r="U63" s="17"/>
      <c r="V63" s="3"/>
      <c r="W63" s="3"/>
      <c r="X63" s="5"/>
      <c r="Y63" s="3"/>
      <c r="Z63" s="3"/>
      <c r="AA63" s="17"/>
      <c r="AB63" s="17"/>
      <c r="AC63" s="5"/>
      <c r="AD63" s="17"/>
      <c r="AE63" s="17"/>
      <c r="AF63" s="3"/>
      <c r="AG63" s="3"/>
      <c r="AH63" s="5"/>
      <c r="AI63" s="3"/>
      <c r="AJ63" s="3"/>
      <c r="AK63" s="17"/>
      <c r="AL63" s="17"/>
      <c r="AM63" s="5"/>
      <c r="AN63" s="17"/>
      <c r="AO63" s="17"/>
      <c r="AP63" s="3"/>
      <c r="AQ63" s="3"/>
      <c r="AR63" s="5"/>
      <c r="AS63" s="3"/>
      <c r="AT63" s="3"/>
    </row>
    <row r="64" spans="1:46" ht="15.75" customHeight="1">
      <c r="A64" s="62">
        <v>54</v>
      </c>
      <c r="B64" s="66" t="s">
        <v>70</v>
      </c>
      <c r="C64" s="187">
        <v>129</v>
      </c>
      <c r="D64" s="187">
        <v>125.52022348502936</v>
      </c>
      <c r="E64" s="187">
        <v>75</v>
      </c>
      <c r="F64" s="187">
        <v>75.564681724846</v>
      </c>
      <c r="G64" s="187">
        <v>50</v>
      </c>
      <c r="H64" s="187">
        <v>47.41979848144788</v>
      </c>
      <c r="I64" s="19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 ht="15.75" customHeight="1">
      <c r="A65" s="130">
        <v>55</v>
      </c>
      <c r="B65" s="131" t="s">
        <v>71</v>
      </c>
      <c r="C65" s="187">
        <v>129</v>
      </c>
      <c r="D65" s="187">
        <v>135.98936170212767</v>
      </c>
      <c r="E65" s="187">
        <v>75</v>
      </c>
      <c r="F65" s="187">
        <v>75.93085106382979</v>
      </c>
      <c r="G65" s="187">
        <v>50</v>
      </c>
      <c r="H65" s="187">
        <v>46.89893617021277</v>
      </c>
      <c r="I65" s="191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 ht="15.75" customHeight="1">
      <c r="A66" s="62">
        <v>56</v>
      </c>
      <c r="B66" s="66" t="s">
        <v>72</v>
      </c>
      <c r="C66" s="118">
        <v>146</v>
      </c>
      <c r="D66" s="118">
        <v>136.53405182297638</v>
      </c>
      <c r="E66" s="118">
        <v>78</v>
      </c>
      <c r="F66" s="118">
        <v>80.60077963769777</v>
      </c>
      <c r="G66" s="187">
        <v>49</v>
      </c>
      <c r="H66" s="187">
        <v>45.952763127723</v>
      </c>
      <c r="I66" s="191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spans="1:46" ht="15.75" customHeight="1">
      <c r="A67" s="62"/>
      <c r="B67" s="65" t="s">
        <v>108</v>
      </c>
      <c r="C67" s="187"/>
      <c r="D67" s="187"/>
      <c r="E67" s="187"/>
      <c r="F67" s="187"/>
      <c r="G67" s="187"/>
      <c r="H67" s="187"/>
      <c r="I67" s="19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  <row r="68" spans="1:46" ht="15.75" customHeight="1">
      <c r="A68" s="130">
        <v>57</v>
      </c>
      <c r="B68" s="131" t="s">
        <v>73</v>
      </c>
      <c r="C68" s="187">
        <v>182</v>
      </c>
      <c r="D68" s="187">
        <v>186.8235294117647</v>
      </c>
      <c r="E68" s="187">
        <v>84</v>
      </c>
      <c r="F68" s="187">
        <v>83.10588235294118</v>
      </c>
      <c r="G68" s="187">
        <v>40</v>
      </c>
      <c r="H68" s="187">
        <v>41.09411764705882</v>
      </c>
      <c r="I68" s="191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spans="1:46" ht="15.75" customHeight="1">
      <c r="A69" s="62">
        <v>58</v>
      </c>
      <c r="B69" s="66" t="s">
        <v>74</v>
      </c>
      <c r="C69" s="187">
        <v>166</v>
      </c>
      <c r="D69" s="187">
        <v>185.94380688563515</v>
      </c>
      <c r="E69" s="187">
        <v>81</v>
      </c>
      <c r="F69" s="187">
        <v>89.52908587257618</v>
      </c>
      <c r="G69" s="187">
        <v>50</v>
      </c>
      <c r="H69" s="187">
        <v>44.90304709141274</v>
      </c>
      <c r="I69" s="191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spans="1:46" ht="15.75" customHeight="1">
      <c r="A70" s="130">
        <v>59</v>
      </c>
      <c r="B70" s="131" t="s">
        <v>75</v>
      </c>
      <c r="C70" s="187">
        <v>149</v>
      </c>
      <c r="D70" s="187">
        <v>164.6911118496363</v>
      </c>
      <c r="E70" s="187">
        <v>74</v>
      </c>
      <c r="F70" s="187">
        <v>83.08408109006315</v>
      </c>
      <c r="G70" s="187">
        <v>44</v>
      </c>
      <c r="H70" s="187">
        <v>50.958236401905395</v>
      </c>
      <c r="I70" s="191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</row>
    <row r="71" spans="1:46" ht="15.75" customHeight="1">
      <c r="A71" s="130">
        <v>60</v>
      </c>
      <c r="B71" s="131" t="s">
        <v>76</v>
      </c>
      <c r="C71" s="187">
        <v>146</v>
      </c>
      <c r="D71" s="187"/>
      <c r="E71" s="187">
        <v>82</v>
      </c>
      <c r="F71" s="187"/>
      <c r="G71" s="187">
        <v>56</v>
      </c>
      <c r="H71" s="187"/>
      <c r="I71" s="191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spans="1:46" ht="15.75" customHeight="1">
      <c r="A72" s="62">
        <v>61</v>
      </c>
      <c r="B72" s="66" t="s">
        <v>77</v>
      </c>
      <c r="C72" s="184">
        <v>123</v>
      </c>
      <c r="D72" s="184">
        <v>128.75584171531554</v>
      </c>
      <c r="E72" s="184">
        <v>60</v>
      </c>
      <c r="F72" s="184">
        <v>66.82674327259284</v>
      </c>
      <c r="G72" s="184">
        <v>29</v>
      </c>
      <c r="H72" s="184">
        <v>33.229894795212644</v>
      </c>
      <c r="I72" s="191"/>
      <c r="J72" s="22"/>
      <c r="K72" s="22"/>
      <c r="L72" s="22"/>
      <c r="M72" s="22"/>
      <c r="N72" s="5"/>
      <c r="O72" s="22"/>
      <c r="P72" s="22"/>
      <c r="Q72" s="22"/>
      <c r="R72" s="22"/>
      <c r="S72" s="5"/>
      <c r="T72" s="22"/>
      <c r="U72" s="22"/>
      <c r="V72" s="22"/>
      <c r="W72" s="22"/>
      <c r="X72" s="5"/>
      <c r="Y72" s="22"/>
      <c r="Z72" s="22"/>
      <c r="AA72" s="22"/>
      <c r="AB72" s="22"/>
      <c r="AC72" s="5"/>
      <c r="AD72" s="22"/>
      <c r="AE72" s="22"/>
      <c r="AF72" s="22"/>
      <c r="AG72" s="22"/>
      <c r="AH72" s="5"/>
      <c r="AI72" s="22"/>
      <c r="AJ72" s="22"/>
      <c r="AK72" s="22"/>
      <c r="AL72" s="22"/>
      <c r="AM72" s="5"/>
      <c r="AN72" s="22"/>
      <c r="AO72" s="22"/>
      <c r="AP72" s="22"/>
      <c r="AQ72" s="22"/>
      <c r="AR72" s="5"/>
      <c r="AS72" s="22"/>
      <c r="AT72" s="22"/>
    </row>
    <row r="73" spans="1:46" ht="15.75" customHeight="1">
      <c r="A73" s="62">
        <v>62</v>
      </c>
      <c r="B73" s="66" t="s">
        <v>78</v>
      </c>
      <c r="C73" s="118">
        <v>129</v>
      </c>
      <c r="D73" s="118">
        <v>120.86448397353269</v>
      </c>
      <c r="E73" s="118">
        <v>75</v>
      </c>
      <c r="F73" s="118">
        <v>64.12305577038757</v>
      </c>
      <c r="G73" s="185">
        <v>50</v>
      </c>
      <c r="H73" s="185">
        <v>33.741514135945685</v>
      </c>
      <c r="I73" s="191"/>
      <c r="J73" s="23"/>
      <c r="K73" s="23"/>
      <c r="L73" s="3"/>
      <c r="M73" s="3"/>
      <c r="N73" s="5"/>
      <c r="O73" s="3"/>
      <c r="P73" s="3"/>
      <c r="Q73" s="17"/>
      <c r="R73" s="17"/>
      <c r="S73" s="5"/>
      <c r="T73" s="17"/>
      <c r="U73" s="17"/>
      <c r="V73" s="3"/>
      <c r="W73" s="3"/>
      <c r="X73" s="5"/>
      <c r="Y73" s="3"/>
      <c r="Z73" s="3"/>
      <c r="AA73" s="17"/>
      <c r="AB73" s="17"/>
      <c r="AC73" s="5"/>
      <c r="AD73" s="17"/>
      <c r="AE73" s="17"/>
      <c r="AF73" s="3"/>
      <c r="AG73" s="3"/>
      <c r="AH73" s="5"/>
      <c r="AI73" s="3"/>
      <c r="AJ73" s="3"/>
      <c r="AK73" s="17"/>
      <c r="AL73" s="17"/>
      <c r="AM73" s="5"/>
      <c r="AN73" s="17"/>
      <c r="AO73" s="17"/>
      <c r="AP73" s="3"/>
      <c r="AQ73" s="3"/>
      <c r="AR73" s="5"/>
      <c r="AS73" s="3"/>
      <c r="AT73" s="3"/>
    </row>
    <row r="74" spans="1:46" ht="15.75">
      <c r="A74" s="62"/>
      <c r="B74" s="68" t="s">
        <v>109</v>
      </c>
      <c r="C74" s="187"/>
      <c r="D74" s="187"/>
      <c r="E74" s="187"/>
      <c r="F74" s="187"/>
      <c r="G74" s="187"/>
      <c r="H74" s="187"/>
      <c r="I74" s="191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spans="1:46" ht="18.75">
      <c r="A75" s="62">
        <v>63</v>
      </c>
      <c r="B75" s="66" t="s">
        <v>79</v>
      </c>
      <c r="C75" s="118">
        <v>167</v>
      </c>
      <c r="D75" s="118">
        <v>196.2414751199798</v>
      </c>
      <c r="E75" s="118">
        <v>83</v>
      </c>
      <c r="F75" s="118">
        <v>89.13867138166204</v>
      </c>
      <c r="G75" s="118">
        <v>45</v>
      </c>
      <c r="H75" s="118">
        <v>44.885071987875726</v>
      </c>
      <c r="I75" s="191"/>
      <c r="J75" s="25"/>
      <c r="K75" s="24"/>
      <c r="L75" s="24"/>
      <c r="M75" s="24"/>
      <c r="N75" s="5"/>
      <c r="O75" s="24"/>
      <c r="P75" s="24"/>
      <c r="Q75" s="24"/>
      <c r="R75" s="24"/>
      <c r="S75" s="5"/>
      <c r="T75" s="25"/>
      <c r="U75" s="25"/>
      <c r="V75" s="24"/>
      <c r="W75" s="24"/>
      <c r="X75" s="5"/>
      <c r="Y75" s="24"/>
      <c r="Z75" s="24"/>
      <c r="AA75" s="24"/>
      <c r="AB75" s="24"/>
      <c r="AC75" s="5"/>
      <c r="AD75" s="25"/>
      <c r="AE75" s="25"/>
      <c r="AF75" s="24"/>
      <c r="AG75" s="24"/>
      <c r="AH75" s="5"/>
      <c r="AI75" s="24"/>
      <c r="AJ75" s="24"/>
      <c r="AK75" s="25"/>
      <c r="AL75" s="25"/>
      <c r="AM75" s="5"/>
      <c r="AN75" s="25"/>
      <c r="AO75" s="25"/>
      <c r="AP75" s="24"/>
      <c r="AQ75" s="24"/>
      <c r="AR75" s="5"/>
      <c r="AS75" s="24"/>
      <c r="AT75" s="24"/>
    </row>
    <row r="76" spans="1:46" ht="15.75">
      <c r="A76" s="130">
        <v>64</v>
      </c>
      <c r="B76" s="131" t="s">
        <v>80</v>
      </c>
      <c r="C76" s="118">
        <v>129</v>
      </c>
      <c r="D76" s="118">
        <v>158.7913669681098</v>
      </c>
      <c r="E76" s="118">
        <v>75</v>
      </c>
      <c r="F76" s="118">
        <v>86.25800049213376</v>
      </c>
      <c r="G76" s="181">
        <v>50</v>
      </c>
      <c r="H76" s="181">
        <v>55.31015192861859</v>
      </c>
      <c r="I76" s="191"/>
      <c r="J76" s="18"/>
      <c r="K76" s="18"/>
      <c r="L76" s="3"/>
      <c r="M76" s="3"/>
      <c r="N76" s="5"/>
      <c r="O76" s="3"/>
      <c r="P76" s="3"/>
      <c r="Q76" s="17"/>
      <c r="R76" s="17"/>
      <c r="S76" s="5"/>
      <c r="T76" s="17"/>
      <c r="U76" s="17"/>
      <c r="V76" s="3"/>
      <c r="W76" s="3"/>
      <c r="X76" s="5"/>
      <c r="Y76" s="3"/>
      <c r="Z76" s="3"/>
      <c r="AA76" s="17"/>
      <c r="AB76" s="17"/>
      <c r="AC76" s="5"/>
      <c r="AD76" s="17"/>
      <c r="AE76" s="17"/>
      <c r="AF76" s="3"/>
      <c r="AG76" s="3"/>
      <c r="AH76" s="5"/>
      <c r="AI76" s="3"/>
      <c r="AJ76" s="3"/>
      <c r="AK76" s="17"/>
      <c r="AL76" s="17"/>
      <c r="AM76" s="5"/>
      <c r="AN76" s="17"/>
      <c r="AO76" s="17"/>
      <c r="AP76" s="3"/>
      <c r="AQ76" s="3"/>
      <c r="AR76" s="5"/>
      <c r="AS76" s="3"/>
      <c r="AT76" s="3"/>
    </row>
    <row r="77" spans="1:46" ht="15.75">
      <c r="A77" s="130">
        <v>65</v>
      </c>
      <c r="B77" s="131" t="s">
        <v>81</v>
      </c>
      <c r="C77" s="187">
        <v>129</v>
      </c>
      <c r="D77" s="187">
        <v>124.97532467532466</v>
      </c>
      <c r="E77" s="187">
        <v>75</v>
      </c>
      <c r="F77" s="187">
        <v>71.76969696969697</v>
      </c>
      <c r="G77" s="187">
        <v>50</v>
      </c>
      <c r="H77" s="187">
        <v>45.24242424242424</v>
      </c>
      <c r="I77" s="191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spans="1:46" ht="15.75">
      <c r="A78" s="62">
        <v>66</v>
      </c>
      <c r="B78" s="66" t="s">
        <v>82</v>
      </c>
      <c r="C78" s="187">
        <v>149</v>
      </c>
      <c r="D78" s="187">
        <v>143.43577161392273</v>
      </c>
      <c r="E78" s="187">
        <v>78</v>
      </c>
      <c r="F78" s="187">
        <v>76.01363995508795</v>
      </c>
      <c r="G78" s="187">
        <v>50</v>
      </c>
      <c r="H78" s="187">
        <v>41.36066869048114</v>
      </c>
      <c r="I78" s="191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ht="15.75">
      <c r="A79" s="62">
        <v>67</v>
      </c>
      <c r="B79" s="66" t="s">
        <v>83</v>
      </c>
      <c r="C79" s="187">
        <v>176</v>
      </c>
      <c r="D79" s="187">
        <v>176.6117125984252</v>
      </c>
      <c r="E79" s="187">
        <v>89</v>
      </c>
      <c r="F79" s="187">
        <v>93.52854330708661</v>
      </c>
      <c r="G79" s="187">
        <v>50</v>
      </c>
      <c r="H79" s="187">
        <v>43.98375984251969</v>
      </c>
      <c r="I79" s="191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6" ht="15.75">
      <c r="A80" s="130">
        <v>68</v>
      </c>
      <c r="B80" s="131" t="s">
        <v>84</v>
      </c>
      <c r="C80" s="187">
        <v>157</v>
      </c>
      <c r="D80" s="187">
        <v>132.75454809166632</v>
      </c>
      <c r="E80" s="187">
        <v>83</v>
      </c>
      <c r="F80" s="187">
        <v>73.2253118395425</v>
      </c>
      <c r="G80" s="187">
        <v>50</v>
      </c>
      <c r="H80" s="187">
        <v>38.09208072603705</v>
      </c>
      <c r="I80" s="191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ht="15.75">
      <c r="A81" s="62">
        <v>69</v>
      </c>
      <c r="B81" s="66" t="s">
        <v>85</v>
      </c>
      <c r="C81" s="187">
        <v>131</v>
      </c>
      <c r="D81" s="187">
        <v>139.6370981785254</v>
      </c>
      <c r="E81" s="187">
        <v>76</v>
      </c>
      <c r="F81" s="187">
        <v>76.86065545223418</v>
      </c>
      <c r="G81" s="187">
        <v>50</v>
      </c>
      <c r="H81" s="187">
        <v>39.07985929718246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</row>
    <row r="82" spans="1:46" ht="15.75">
      <c r="A82" s="130">
        <v>70</v>
      </c>
      <c r="B82" s="131" t="s">
        <v>86</v>
      </c>
      <c r="C82" s="187">
        <v>138</v>
      </c>
      <c r="D82" s="187">
        <v>137.63358436886614</v>
      </c>
      <c r="E82" s="187">
        <v>75</v>
      </c>
      <c r="F82" s="187">
        <v>73.4273669967194</v>
      </c>
      <c r="G82" s="187">
        <v>50</v>
      </c>
      <c r="H82" s="187">
        <v>41.24666565138772</v>
      </c>
      <c r="I82" s="191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46" ht="15.75">
      <c r="A83" s="62">
        <v>71</v>
      </c>
      <c r="B83" s="66" t="s">
        <v>87</v>
      </c>
      <c r="C83" s="187">
        <v>129</v>
      </c>
      <c r="D83" s="187">
        <v>148.89645196970986</v>
      </c>
      <c r="E83" s="187">
        <v>75</v>
      </c>
      <c r="F83" s="187">
        <v>76.72041180975071</v>
      </c>
      <c r="G83" s="187">
        <v>50</v>
      </c>
      <c r="H83" s="187">
        <v>40.13230664511189</v>
      </c>
      <c r="I83" s="191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84" spans="1:46" ht="15.75">
      <c r="A84" s="62">
        <v>72</v>
      </c>
      <c r="B84" s="66" t="s">
        <v>88</v>
      </c>
      <c r="C84" s="187">
        <v>140</v>
      </c>
      <c r="D84" s="187">
        <v>143.47073371805442</v>
      </c>
      <c r="E84" s="187">
        <v>81</v>
      </c>
      <c r="F84" s="187">
        <v>85.63891178895301</v>
      </c>
      <c r="G84" s="187">
        <v>50</v>
      </c>
      <c r="H84" s="187">
        <v>48.42951360263809</v>
      </c>
      <c r="I84" s="191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spans="1:46" ht="15.75">
      <c r="A85" s="130">
        <v>73</v>
      </c>
      <c r="B85" s="131" t="s">
        <v>89</v>
      </c>
      <c r="C85" s="118">
        <v>122</v>
      </c>
      <c r="D85" s="118">
        <v>126.99118942731278</v>
      </c>
      <c r="E85" s="118">
        <v>57</v>
      </c>
      <c r="F85" s="118">
        <v>62.4625550660793</v>
      </c>
      <c r="G85" s="185">
        <v>32</v>
      </c>
      <c r="H85" s="185">
        <v>36.775330396475766</v>
      </c>
      <c r="I85" s="191"/>
      <c r="J85" s="23"/>
      <c r="K85" s="23"/>
      <c r="L85" s="3"/>
      <c r="M85" s="3"/>
      <c r="N85" s="5"/>
      <c r="O85" s="3"/>
      <c r="P85" s="3"/>
      <c r="Q85" s="17"/>
      <c r="R85" s="17"/>
      <c r="S85" s="5"/>
      <c r="T85" s="17"/>
      <c r="U85" s="17"/>
      <c r="V85" s="3"/>
      <c r="W85" s="3"/>
      <c r="X85" s="5"/>
      <c r="Y85" s="3"/>
      <c r="Z85" s="3"/>
      <c r="AA85" s="17"/>
      <c r="AB85" s="17"/>
      <c r="AC85" s="5"/>
      <c r="AD85" s="17"/>
      <c r="AE85" s="17"/>
      <c r="AF85" s="3"/>
      <c r="AG85" s="3"/>
      <c r="AH85" s="5"/>
      <c r="AI85" s="3"/>
      <c r="AJ85" s="3"/>
      <c r="AK85" s="17"/>
      <c r="AL85" s="17"/>
      <c r="AM85" s="5"/>
      <c r="AN85" s="17"/>
      <c r="AO85" s="17"/>
      <c r="AP85" s="3"/>
      <c r="AQ85" s="3"/>
      <c r="AR85" s="5"/>
      <c r="AS85" s="3"/>
      <c r="AT85" s="3"/>
    </row>
    <row r="86" spans="1:8" ht="15.75">
      <c r="A86" s="62">
        <v>74</v>
      </c>
      <c r="B86" s="66" t="s">
        <v>90</v>
      </c>
      <c r="C86" s="187">
        <v>129</v>
      </c>
      <c r="D86" s="187">
        <v>129.59596264389492</v>
      </c>
      <c r="E86" s="187">
        <v>75</v>
      </c>
      <c r="F86" s="187">
        <v>76.23685520737466</v>
      </c>
      <c r="G86" s="187">
        <v>50</v>
      </c>
      <c r="H86" s="187">
        <v>40.66587709901782</v>
      </c>
    </row>
    <row r="87" spans="1:8" ht="15.75">
      <c r="A87" s="62"/>
      <c r="B87" s="67" t="s">
        <v>110</v>
      </c>
      <c r="C87" s="187"/>
      <c r="D87" s="187"/>
      <c r="E87" s="187"/>
      <c r="F87" s="187"/>
      <c r="G87" s="187"/>
      <c r="H87" s="187"/>
    </row>
    <row r="88" spans="1:8" ht="15.75">
      <c r="A88" s="130">
        <v>75</v>
      </c>
      <c r="B88" s="131" t="s">
        <v>91</v>
      </c>
      <c r="C88" s="187">
        <v>85</v>
      </c>
      <c r="D88" s="187"/>
      <c r="E88" s="187">
        <v>50</v>
      </c>
      <c r="F88" s="187"/>
      <c r="G88" s="187">
        <v>37</v>
      </c>
      <c r="H88" s="187"/>
    </row>
    <row r="89" spans="1:8" ht="15.75">
      <c r="A89" s="62">
        <v>76</v>
      </c>
      <c r="B89" s="66" t="s">
        <v>92</v>
      </c>
      <c r="C89" s="187">
        <v>104</v>
      </c>
      <c r="D89" s="187"/>
      <c r="E89" s="187">
        <v>65</v>
      </c>
      <c r="F89" s="187"/>
      <c r="G89" s="187">
        <v>34</v>
      </c>
      <c r="H89" s="187"/>
    </row>
    <row r="90" spans="1:8" ht="15.75">
      <c r="A90" s="130">
        <v>77</v>
      </c>
      <c r="B90" s="131" t="s">
        <v>93</v>
      </c>
      <c r="C90" s="187">
        <v>134</v>
      </c>
      <c r="D90" s="187"/>
      <c r="E90" s="187">
        <v>80</v>
      </c>
      <c r="F90" s="187"/>
      <c r="G90" s="187">
        <v>43</v>
      </c>
      <c r="H90" s="187"/>
    </row>
    <row r="91" spans="1:8" ht="15.75">
      <c r="A91" s="62">
        <v>78</v>
      </c>
      <c r="B91" s="66" t="s">
        <v>94</v>
      </c>
      <c r="C91" s="187">
        <v>134</v>
      </c>
      <c r="D91" s="187">
        <v>130.50673890063425</v>
      </c>
      <c r="E91" s="187">
        <v>76</v>
      </c>
      <c r="F91" s="187">
        <v>80.76770613107823</v>
      </c>
      <c r="G91" s="187">
        <v>50</v>
      </c>
      <c r="H91" s="187">
        <v>47.340776955602536</v>
      </c>
    </row>
    <row r="92" spans="1:8" ht="15.75">
      <c r="A92" s="62">
        <v>79</v>
      </c>
      <c r="B92" s="66" t="s">
        <v>95</v>
      </c>
      <c r="C92" s="187">
        <v>125</v>
      </c>
      <c r="D92" s="187">
        <v>124.91731377624389</v>
      </c>
      <c r="E92" s="187">
        <v>74</v>
      </c>
      <c r="F92" s="187">
        <v>68.66551624964049</v>
      </c>
      <c r="G92" s="187">
        <v>44</v>
      </c>
      <c r="H92" s="187">
        <v>35.9792924935289</v>
      </c>
    </row>
    <row r="93" spans="1:33" ht="15.75">
      <c r="A93" s="62">
        <v>80</v>
      </c>
      <c r="B93" s="66" t="s">
        <v>96</v>
      </c>
      <c r="C93" s="187">
        <v>121</v>
      </c>
      <c r="D93" s="187">
        <v>116.46921408309694</v>
      </c>
      <c r="E93" s="187">
        <v>64</v>
      </c>
      <c r="F93" s="187">
        <v>67.86806830190778</v>
      </c>
      <c r="G93" s="187">
        <v>34</v>
      </c>
      <c r="H93" s="187">
        <v>37.76072084098114</v>
      </c>
      <c r="AC93" s="208"/>
      <c r="AD93" s="208"/>
      <c r="AE93" s="208"/>
      <c r="AF93" s="208"/>
      <c r="AG93" s="208"/>
    </row>
    <row r="94" spans="1:8" ht="15.75">
      <c r="A94" s="62">
        <v>81</v>
      </c>
      <c r="B94" s="66" t="s">
        <v>97</v>
      </c>
      <c r="C94" s="187">
        <v>146</v>
      </c>
      <c r="D94" s="187">
        <v>152.53566796368352</v>
      </c>
      <c r="E94" s="187">
        <v>81</v>
      </c>
      <c r="F94" s="187">
        <v>80.76091655858193</v>
      </c>
      <c r="G94" s="187">
        <v>50</v>
      </c>
      <c r="H94" s="187">
        <v>47.97016861219196</v>
      </c>
    </row>
    <row r="95" spans="1:8" ht="15.75">
      <c r="A95" s="62">
        <v>82</v>
      </c>
      <c r="B95" s="66" t="s">
        <v>127</v>
      </c>
      <c r="C95" s="187">
        <v>114</v>
      </c>
      <c r="D95" s="187">
        <v>219.3251290194522</v>
      </c>
      <c r="E95" s="187">
        <v>81</v>
      </c>
      <c r="F95" s="187">
        <v>88.84080984517666</v>
      </c>
      <c r="G95" s="187">
        <v>50</v>
      </c>
      <c r="H95" s="187">
        <v>44.53354505756252</v>
      </c>
    </row>
    <row r="96" spans="1:8" ht="15.75">
      <c r="A96" s="130">
        <v>83</v>
      </c>
      <c r="B96" s="131" t="s">
        <v>99</v>
      </c>
      <c r="C96" s="187">
        <v>129</v>
      </c>
      <c r="D96" s="187"/>
      <c r="E96" s="187">
        <v>75</v>
      </c>
      <c r="F96" s="187"/>
      <c r="G96" s="187">
        <v>50</v>
      </c>
      <c r="H96" s="187"/>
    </row>
    <row r="98" spans="4:8" ht="12.75">
      <c r="D98" s="180"/>
      <c r="F98" s="180"/>
      <c r="H98" s="180"/>
    </row>
  </sheetData>
  <mergeCells count="11">
    <mergeCell ref="C2:D2"/>
    <mergeCell ref="E2:F2"/>
    <mergeCell ref="G2:H2"/>
    <mergeCell ref="L1:P1"/>
    <mergeCell ref="A1:H1"/>
    <mergeCell ref="AC93:AG93"/>
    <mergeCell ref="AP1:AT1"/>
    <mergeCell ref="Q1:U1"/>
    <mergeCell ref="V1:Z1"/>
    <mergeCell ref="AF1:AJ1"/>
    <mergeCell ref="AK1:AO1"/>
  </mergeCells>
  <printOptions/>
  <pageMargins left="0.17" right="0.19" top="0.17" bottom="0.17" header="0.17" footer="0.17"/>
  <pageSetup horizontalDpi="300" verticalDpi="300" orientation="portrait" paperSize="9" scale="5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NesterovAS</cp:lastModifiedBy>
  <cp:lastPrinted>2013-04-28T14:14:44Z</cp:lastPrinted>
  <dcterms:created xsi:type="dcterms:W3CDTF">1996-10-08T23:32:33Z</dcterms:created>
  <dcterms:modified xsi:type="dcterms:W3CDTF">2013-04-30T06:01:29Z</dcterms:modified>
  <cp:category/>
  <cp:version/>
  <cp:contentType/>
  <cp:contentStatus/>
</cp:coreProperties>
</file>